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Questa_cartella_di_lavoro" defaultThemeVersion="124226"/>
  <xr:revisionPtr revIDLastSave="0" documentId="8_{6B7C600B-D418-4498-B55D-B3DCF572544F}" xr6:coauthVersionLast="47" xr6:coauthVersionMax="47" xr10:uidLastSave="{00000000-0000-0000-0000-000000000000}"/>
  <workbookProtection workbookPassword="A0BC" lockStructure="1"/>
  <bookViews>
    <workbookView xWindow="3075" yWindow="3075" windowWidth="18900" windowHeight="11055" activeTab="1" xr2:uid="{00000000-000D-0000-FFFF-FFFF00000000}"/>
  </bookViews>
  <sheets>
    <sheet name="INPUT" sheetId="9" r:id="rId1"/>
    <sheet name="SCHEDA DI INTERVENTO" sheetId="10" r:id="rId2"/>
    <sheet name="esprortazione" sheetId="11" r:id="rId3"/>
    <sheet name="CCNL-appoggio" sheetId="2" state="hidden" r:id="rId4"/>
    <sheet name="CCNL cooperative" sheetId="6" state="hidden" r:id="rId5"/>
    <sheet name="CCNL cooperative (11-19)" sheetId="13" state="hidden" r:id="rId6"/>
    <sheet name="CCNL cooperative (4-20)" sheetId="14" state="hidden" r:id="rId7"/>
    <sheet name="CCNL cooperative (9-20)" sheetId="15" state="hidden" r:id="rId8"/>
    <sheet name="CCNL EELL" sheetId="7" state="hidden" r:id="rId9"/>
    <sheet name="CCNL EELL 2018" sheetId="12" state="hidden" r:id="rId10"/>
  </sheets>
  <definedNames>
    <definedName name="_xlnm.Print_Area" localSheetId="2">esprortazione!$A$3</definedName>
    <definedName name="_xlnm.Print_Area" localSheetId="0">INPUT!$A$1:$V$129</definedName>
    <definedName name="_xlnm.Print_Area" localSheetId="1">'SCHEDA DI INTERVENTO'!$A$1:$AM$114</definedName>
    <definedName name="CCNLCoopCost">'CCNL-appoggio'!$B$2:$B$18</definedName>
    <definedName name="CCNLCoopDes">'CCNL-appoggio'!$A$2:$A$18</definedName>
    <definedName name="CCNLCostoOrarioAltroPersonale2">#REF!</definedName>
    <definedName name="CCNLCostoOrarioAltroPersonale3">#REF!</definedName>
    <definedName name="CCNLCostoOrarioAltroPesonale1" localSheetId="5">#REF!</definedName>
    <definedName name="CCNLCostoOrarioAltroPesonale1">#REF!</definedName>
    <definedName name="CCNLCostoOrarioAltroPesonale2" localSheetId="5">#REF!</definedName>
    <definedName name="CCNLCostoOrarioAltroPesonale2">#REF!</definedName>
    <definedName name="CCNLCostoOrarioAltroPesonale3" localSheetId="5">#REF!</definedName>
    <definedName name="CCNLCostoOrarioAltroPesonale3">#REF!</definedName>
    <definedName name="CCNLCostoOrarioAmministrativo" localSheetId="5">#REF!</definedName>
    <definedName name="CCNLCostoOrarioAmministrativo">#REF!</definedName>
    <definedName name="CCNLCostoOrarioAmministrativo1">#REF!</definedName>
    <definedName name="CCNLCostoOrarioAusiliari" localSheetId="5">#REF!</definedName>
    <definedName name="CCNLCostoOrarioAusiliari">#REF!</definedName>
    <definedName name="CCNLCostoOrarioCoordinatore" localSheetId="5">#REF!</definedName>
    <definedName name="CCNLCostoOrarioCoordinatore">#REF!</definedName>
    <definedName name="CCNLCostoOrarioCuoco" localSheetId="5">#REF!</definedName>
    <definedName name="CCNLCostoOrarioCuoco">#REF!</definedName>
    <definedName name="CCNLCostoOrarioEducatori" localSheetId="5">#REF!</definedName>
    <definedName name="CCNLCostoOrarioEducatori">#REF!</definedName>
    <definedName name="CCNLEELLCostOrd">'CCNL-appoggio'!$G$2:$G$24</definedName>
    <definedName name="CCNLEELLCostStraord">'CCNL-appoggio'!$H$2:$H$24</definedName>
    <definedName name="CCNLEELLDes">'CCNL-appoggio'!$F$2:$F$24</definedName>
    <definedName name="CostoPastoMassimo" localSheetId="5">#REF!</definedName>
    <definedName name="CostoPastoMassimo">#REF!</definedName>
    <definedName name="InfanziaDifferenzaScheda" localSheetId="5">#REF!</definedName>
    <definedName name="InfanziaDifferenzaScheda">#REF!</definedName>
    <definedName name="InfanziaParametroCostoPasto" localSheetId="5">#REF!</definedName>
    <definedName name="InfanziaParametroCostoPasto">#REF!</definedName>
    <definedName name="infanziaParametroPercentualeCoordinamento" localSheetId="5">#REF!</definedName>
    <definedName name="infanziaParametroPercentualeCoordinamento">#REF!</definedName>
    <definedName name="InfanziaParametroPercentualeSpeseGenerali" localSheetId="5">#REF!</definedName>
    <definedName name="InfanziaParametroPercentualeSpeseGenerali">#REF!</definedName>
    <definedName name="InfanziaPercentualeAltroPersonale1" localSheetId="5">#REF!</definedName>
    <definedName name="InfanziaPercentualeAltroPersonale1">#REF!</definedName>
    <definedName name="InfanziaPercentualeAltroPersonale2" localSheetId="5">#REF!</definedName>
    <definedName name="InfanziaPercentualeAltroPersonale2">#REF!</definedName>
    <definedName name="InfanziaPercentualeAltroPersonale3" localSheetId="5">#REF!</definedName>
    <definedName name="InfanziaPercentualeAltroPersonale3">#REF!</definedName>
    <definedName name="InfanziaPercentualeMassimaCoordinamento" localSheetId="5">#REF!</definedName>
    <definedName name="InfanziaPercentualeMassimaCoordinamento">#REF!</definedName>
    <definedName name="InfaziaPercentualeMassimaSpeseGenerali" localSheetId="5">#REF!</definedName>
    <definedName name="InfaziaPercentualeMassimaSpeseGenerali">#REF!</definedName>
    <definedName name="numeroPasti" localSheetId="5">#REF!</definedName>
    <definedName name="numeroPasti">#REF!</definedName>
    <definedName name="oreMassimeServizioOrdinario" localSheetId="5">#REF!</definedName>
    <definedName name="oreMassimeServizioOrdinario">#REF!</definedName>
    <definedName name="oreMassimeServizioSabato" localSheetId="5">#REF!</definedName>
    <definedName name="oreMassimeServizioSabato">#REF!</definedName>
    <definedName name="oreMinimeServizioOrdinario" localSheetId="5">#REF!</definedName>
    <definedName name="oreMinimeServizioOrdinario">#REF!</definedName>
    <definedName name="oreMinimeServizioSabato" localSheetId="5">#REF!</definedName>
    <definedName name="oreMinimeServizioSabato">#REF!</definedName>
    <definedName name="ParametroGiorniServizioSettimanali" localSheetId="5">#REF!</definedName>
    <definedName name="ParametroGiorniServizioSettimanali">#REF!</definedName>
    <definedName name="ParametroMesiServizio" localSheetId="5">#REF!</definedName>
    <definedName name="ParametroMesiServizio">#REF!</definedName>
    <definedName name="ParametroOreServizioGiornaliero" localSheetId="5">#REF!</definedName>
    <definedName name="ParametroOreServizioGiornaliero">#REF!</definedName>
    <definedName name="ParametroOreServizioGiornalieroSabato" localSheetId="5">#REF!</definedName>
    <definedName name="ParametroOreServizioGiornalieroSabato">#REF!</definedName>
    <definedName name="ParametroOreSettinanaliServizio" localSheetId="5">#REF!</definedName>
    <definedName name="ParametroOreSettinanaliServizio">#REF!</definedName>
    <definedName name="ParametroUtentiComplessivi" localSheetId="5">#REF!</definedName>
    <definedName name="ParametroUtentiComplessivi">#REF!</definedName>
    <definedName name="ParametroUtentiDivezzi" localSheetId="5">#REF!</definedName>
    <definedName name="ParametroUtentiDivezzi">#REF!</definedName>
    <definedName name="ParametroUtentiLattanti" localSheetId="5">#REF!</definedName>
    <definedName name="ParametroUtentiLattanti">#REF!</definedName>
    <definedName name="ParametroUtentiSemidivezzi" localSheetId="5">#REF!</definedName>
    <definedName name="ParametroUtentiSemidivezzi">#REF!</definedName>
    <definedName name="scedaCostoCoordinatore" localSheetId="5">#REF!</definedName>
    <definedName name="scedaCostoCoordinatore">#REF!</definedName>
    <definedName name="schedaCompartecipazione" localSheetId="5">#REF!</definedName>
    <definedName name="schedaCompartecipazione">#REF!</definedName>
    <definedName name="schedaCostaOrarioAmminitrativi" localSheetId="5">#REF!</definedName>
    <definedName name="schedaCostaOrarioAmminitrativi">#REF!</definedName>
    <definedName name="schedaCostiAusiliari" localSheetId="5">#REF!</definedName>
    <definedName name="schedaCostiAusiliari">#REF!</definedName>
    <definedName name="schedaCostiDiretti" localSheetId="5">#REF!</definedName>
    <definedName name="schedaCostiDiretti">#REF!</definedName>
    <definedName name="schedaCostiGenerali" localSheetId="5">#REF!</definedName>
    <definedName name="schedaCostiGenerali">#REF!</definedName>
    <definedName name="SchedaCostoAltroPersonale1" localSheetId="5">#REF!</definedName>
    <definedName name="SchedaCostoAltroPersonale1">#REF!</definedName>
    <definedName name="SchedaCostoAltroPersonale2" localSheetId="5">#REF!</definedName>
    <definedName name="SchedaCostoAltroPersonale2">#REF!</definedName>
    <definedName name="SchedaCostoAltroPersonale3" localSheetId="5">#REF!</definedName>
    <definedName name="SchedaCostoAltroPersonale3">#REF!</definedName>
    <definedName name="schedaCostoCuoco" localSheetId="5">#REF!</definedName>
    <definedName name="schedaCostoCuoco">#REF!</definedName>
    <definedName name="schedaCostoEducatori" localSheetId="5">#REF!</definedName>
    <definedName name="schedaCostoEducatori">#REF!</definedName>
    <definedName name="schedaCostoOrarioAusiliari" localSheetId="5">#REF!</definedName>
    <definedName name="schedaCostoOrarioAusiliari">#REF!</definedName>
    <definedName name="schedaCostoOrarioCoordinatore" localSheetId="5">#REF!</definedName>
    <definedName name="schedaCostoOrarioCoordinatore">#REF!</definedName>
    <definedName name="schedaCostoOrarioEducatori" localSheetId="5">#REF!</definedName>
    <definedName name="schedaCostoOrarioEducatori">#REF!</definedName>
    <definedName name="SchedaCostoPasti" localSheetId="5">#REF!</definedName>
    <definedName name="SchedaCostoPasti">#REF!</definedName>
    <definedName name="SchedaCostoPersonaleAmministrativo" localSheetId="5">#REF!</definedName>
    <definedName name="SchedaCostoPersonaleAmministrativo">#REF!</definedName>
    <definedName name="SchedaGiorniServizioSettimanali" localSheetId="5">#REF!</definedName>
    <definedName name="SchedaGiorniServizioSettimanali">#REF!</definedName>
    <definedName name="SchedaMesiServizio" localSheetId="5">#REF!</definedName>
    <definedName name="SchedaMesiServizio">#REF!</definedName>
    <definedName name="SchedaOreAltroPersonale1" localSheetId="5">#REF!</definedName>
    <definedName name="SchedaOreAltroPersonale1">#REF!</definedName>
    <definedName name="SchedaOreAltroPersonale2" localSheetId="5">#REF!</definedName>
    <definedName name="SchedaOreAltroPersonale2">#REF!</definedName>
    <definedName name="SchedaOreAltroPersonale3" localSheetId="5">#REF!</definedName>
    <definedName name="SchedaOreAltroPersonale3">#REF!</definedName>
    <definedName name="schedaOreComplessiveServizio" localSheetId="5">#REF!</definedName>
    <definedName name="schedaOreComplessiveServizio">#REF!</definedName>
    <definedName name="SchedaOreCoordinamento" localSheetId="5">#REF!</definedName>
    <definedName name="SchedaOreCoordinamento">#REF!</definedName>
    <definedName name="SchedaOrePersonaleAmministrativo" localSheetId="5">#REF!</definedName>
    <definedName name="SchedaOrePersonaleAmministrativo">#REF!</definedName>
    <definedName name="schedaOrePersonaleEducativo" localSheetId="5">#REF!</definedName>
    <definedName name="schedaOrePersonaleEducativo">#REF!</definedName>
    <definedName name="schedaOreServizioGiornaliero" localSheetId="5">#REF!</definedName>
    <definedName name="schedaOreServizioGiornaliero">#REF!</definedName>
    <definedName name="schedaOreServizioGiornalieroSabato" localSheetId="5">#REF!</definedName>
    <definedName name="schedaOreServizioGiornalieroSabato">#REF!</definedName>
    <definedName name="SchedaOreSettinanaliServizio" localSheetId="5">#REF!</definedName>
    <definedName name="SchedaOreSettinanaliServizio">#REF!</definedName>
    <definedName name="SchedaParametroCostoPasto" localSheetId="5">#REF!</definedName>
    <definedName name="SchedaParametroCostoPasto">#REF!</definedName>
    <definedName name="SchedaUtentiComplessivi" localSheetId="5">#REF!</definedName>
    <definedName name="SchedaUtentiComplessivi">#REF!</definedName>
    <definedName name="SchedaUtentiDivezzi" localSheetId="5">#REF!</definedName>
    <definedName name="SchedaUtentiDivezzi">#REF!</definedName>
    <definedName name="SchedaUtentiLattanti" localSheetId="5">#REF!</definedName>
    <definedName name="SchedaUtentiLattanti">#REF!</definedName>
    <definedName name="SchedaUtentiSemidivezzi" localSheetId="5">#REF!</definedName>
    <definedName name="SchedaUtentiSemidivezzi">#REF!</definedName>
    <definedName name="SchedeOreAusiliari" localSheetId="5">#REF!</definedName>
    <definedName name="SchedeOreAusiliari">#REF!</definedName>
    <definedName name="schedeOreEducatori" localSheetId="5">#REF!</definedName>
    <definedName name="schedeOreEducatori">#REF!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70" i="9" l="1"/>
  <c r="P79" i="9" s="1"/>
  <c r="Q70" i="9"/>
  <c r="Q79" i="9" s="1"/>
  <c r="J63" i="10" s="1"/>
  <c r="P71" i="9"/>
  <c r="P80" i="9" s="1"/>
  <c r="Q71" i="9"/>
  <c r="L53" i="10" s="1"/>
  <c r="Q63" i="9"/>
  <c r="P63" i="9"/>
  <c r="E125" i="9"/>
  <c r="G125" i="9" s="1"/>
  <c r="T125" i="9"/>
  <c r="D104" i="9"/>
  <c r="O71" i="9"/>
  <c r="O80" i="9" s="1"/>
  <c r="O70" i="9"/>
  <c r="O63" i="9"/>
  <c r="L62" i="10" l="1"/>
  <c r="J52" i="10"/>
  <c r="J53" i="10"/>
  <c r="J73" i="10" s="1"/>
  <c r="L52" i="10"/>
  <c r="L72" i="10" s="1"/>
  <c r="Q72" i="9"/>
  <c r="P77" i="9"/>
  <c r="P72" i="9"/>
  <c r="Q68" i="9"/>
  <c r="P68" i="9"/>
  <c r="AQ123" i="10" s="1"/>
  <c r="Q80" i="9"/>
  <c r="O72" i="9"/>
  <c r="O68" i="9"/>
  <c r="O79" i="9"/>
  <c r="J62" i="10" s="1"/>
  <c r="B2" i="15"/>
  <c r="B3" i="15" s="1"/>
  <c r="B2" i="14"/>
  <c r="B3" i="14" s="1"/>
  <c r="B2" i="13"/>
  <c r="B3" i="13" s="1"/>
  <c r="N2" i="2"/>
  <c r="C49" i="15"/>
  <c r="C48" i="15"/>
  <c r="E36" i="15"/>
  <c r="R31" i="15"/>
  <c r="Q31" i="15"/>
  <c r="P31" i="15"/>
  <c r="O31" i="15"/>
  <c r="N31" i="15"/>
  <c r="M31" i="15"/>
  <c r="L31" i="15"/>
  <c r="K31" i="15"/>
  <c r="J31" i="15"/>
  <c r="I31" i="15"/>
  <c r="H31" i="15"/>
  <c r="G31" i="15"/>
  <c r="F31" i="15"/>
  <c r="D31" i="15"/>
  <c r="C31" i="15"/>
  <c r="B31" i="15"/>
  <c r="E26" i="15"/>
  <c r="R16" i="15"/>
  <c r="R25" i="15" s="1"/>
  <c r="R26" i="15" s="1"/>
  <c r="Q16" i="15"/>
  <c r="Q25" i="15" s="1"/>
  <c r="Q26" i="15" s="1"/>
  <c r="P16" i="15"/>
  <c r="P25" i="15" s="1"/>
  <c r="P26" i="15" s="1"/>
  <c r="O16" i="15"/>
  <c r="O25" i="15" s="1"/>
  <c r="O26" i="15" s="1"/>
  <c r="N16" i="15"/>
  <c r="N17" i="15" s="1"/>
  <c r="N21" i="15" s="1"/>
  <c r="M16" i="15"/>
  <c r="M25" i="15" s="1"/>
  <c r="M26" i="15" s="1"/>
  <c r="L16" i="15"/>
  <c r="L17" i="15" s="1"/>
  <c r="K16" i="15"/>
  <c r="K25" i="15" s="1"/>
  <c r="K26" i="15" s="1"/>
  <c r="J16" i="15"/>
  <c r="J17" i="15" s="1"/>
  <c r="J21" i="15" s="1"/>
  <c r="I16" i="15"/>
  <c r="I25" i="15" s="1"/>
  <c r="I26" i="15" s="1"/>
  <c r="H16" i="15"/>
  <c r="H25" i="15" s="1"/>
  <c r="H26" i="15" s="1"/>
  <c r="G16" i="15"/>
  <c r="G25" i="15" s="1"/>
  <c r="G26" i="15" s="1"/>
  <c r="F16" i="15"/>
  <c r="F17" i="15" s="1"/>
  <c r="F21" i="15" s="1"/>
  <c r="E16" i="15"/>
  <c r="E17" i="15" s="1"/>
  <c r="D16" i="15"/>
  <c r="D25" i="15" s="1"/>
  <c r="D26" i="15" s="1"/>
  <c r="C16" i="15"/>
  <c r="C25" i="15" s="1"/>
  <c r="C26" i="15" s="1"/>
  <c r="B16" i="15"/>
  <c r="B25" i="15" s="1"/>
  <c r="B26" i="15" s="1"/>
  <c r="C49" i="14"/>
  <c r="C48" i="14"/>
  <c r="E36" i="14"/>
  <c r="R31" i="14"/>
  <c r="Q31" i="14"/>
  <c r="P31" i="14"/>
  <c r="O31" i="14"/>
  <c r="N31" i="14"/>
  <c r="M31" i="14"/>
  <c r="L31" i="14"/>
  <c r="K31" i="14"/>
  <c r="J31" i="14"/>
  <c r="I31" i="14"/>
  <c r="H31" i="14"/>
  <c r="G31" i="14"/>
  <c r="F31" i="14"/>
  <c r="D31" i="14"/>
  <c r="C31" i="14"/>
  <c r="B31" i="14"/>
  <c r="G26" i="14"/>
  <c r="E26" i="14"/>
  <c r="H25" i="14"/>
  <c r="H26" i="14" s="1"/>
  <c r="R16" i="14"/>
  <c r="Q16" i="14"/>
  <c r="Q25" i="14" s="1"/>
  <c r="Q26" i="14" s="1"/>
  <c r="P16" i="14"/>
  <c r="P17" i="14" s="1"/>
  <c r="P27" i="14" s="1"/>
  <c r="O16" i="14"/>
  <c r="O25" i="14" s="1"/>
  <c r="O26" i="14" s="1"/>
  <c r="N16" i="14"/>
  <c r="M16" i="14"/>
  <c r="M25" i="14" s="1"/>
  <c r="M26" i="14" s="1"/>
  <c r="L16" i="14"/>
  <c r="L17" i="14" s="1"/>
  <c r="L27" i="14" s="1"/>
  <c r="K16" i="14"/>
  <c r="K25" i="14" s="1"/>
  <c r="K26" i="14" s="1"/>
  <c r="J16" i="14"/>
  <c r="I16" i="14"/>
  <c r="I25" i="14" s="1"/>
  <c r="I26" i="14" s="1"/>
  <c r="H16" i="14"/>
  <c r="H17" i="14" s="1"/>
  <c r="H27" i="14" s="1"/>
  <c r="G16" i="14"/>
  <c r="G25" i="14" s="1"/>
  <c r="F16" i="14"/>
  <c r="E16" i="14"/>
  <c r="E17" i="14" s="1"/>
  <c r="D16" i="14"/>
  <c r="D25" i="14" s="1"/>
  <c r="D26" i="14" s="1"/>
  <c r="C16" i="14"/>
  <c r="C17" i="14" s="1"/>
  <c r="C27" i="14" s="1"/>
  <c r="B16" i="14"/>
  <c r="C49" i="13"/>
  <c r="C48" i="13"/>
  <c r="E36" i="13"/>
  <c r="R31" i="13"/>
  <c r="Q31" i="13"/>
  <c r="P31" i="13"/>
  <c r="O31" i="13"/>
  <c r="N31" i="13"/>
  <c r="M31" i="13"/>
  <c r="L31" i="13"/>
  <c r="K31" i="13"/>
  <c r="J31" i="13"/>
  <c r="I31" i="13"/>
  <c r="H31" i="13"/>
  <c r="G31" i="13"/>
  <c r="F31" i="13"/>
  <c r="D31" i="13"/>
  <c r="C31" i="13"/>
  <c r="B31" i="13"/>
  <c r="C25" i="13"/>
  <c r="C26" i="13" s="1"/>
  <c r="R16" i="13"/>
  <c r="R25" i="13" s="1"/>
  <c r="R26" i="13" s="1"/>
  <c r="Q16" i="13"/>
  <c r="P16" i="13"/>
  <c r="P25" i="13" s="1"/>
  <c r="P26" i="13" s="1"/>
  <c r="O16" i="13"/>
  <c r="O25" i="13" s="1"/>
  <c r="O26" i="13" s="1"/>
  <c r="N16" i="13"/>
  <c r="N25" i="13" s="1"/>
  <c r="N26" i="13" s="1"/>
  <c r="M16" i="13"/>
  <c r="L16" i="13"/>
  <c r="L25" i="13" s="1"/>
  <c r="L26" i="13" s="1"/>
  <c r="K16" i="13"/>
  <c r="K17" i="13" s="1"/>
  <c r="K21" i="13" s="1"/>
  <c r="J16" i="13"/>
  <c r="J25" i="13" s="1"/>
  <c r="J26" i="13" s="1"/>
  <c r="I16" i="13"/>
  <c r="H16" i="13"/>
  <c r="H25" i="13" s="1"/>
  <c r="H26" i="13" s="1"/>
  <c r="G16" i="13"/>
  <c r="G17" i="13" s="1"/>
  <c r="F16" i="13"/>
  <c r="F25" i="13" s="1"/>
  <c r="F26" i="13" s="1"/>
  <c r="E16" i="13"/>
  <c r="E17" i="13" s="1"/>
  <c r="D16" i="13"/>
  <c r="D25" i="13" s="1"/>
  <c r="D26" i="13" s="1"/>
  <c r="C16" i="13"/>
  <c r="C17" i="13" s="1"/>
  <c r="B16" i="13"/>
  <c r="B17" i="13" s="1"/>
  <c r="B21" i="13" s="1"/>
  <c r="B37" i="12"/>
  <c r="B38" i="12" s="1"/>
  <c r="C38" i="12" s="1"/>
  <c r="H28" i="12"/>
  <c r="B28" i="12"/>
  <c r="C28" i="12" s="1"/>
  <c r="H27" i="12"/>
  <c r="B27" i="12"/>
  <c r="C27" i="12" s="1"/>
  <c r="H26" i="12"/>
  <c r="B26" i="12"/>
  <c r="C26" i="12" s="1"/>
  <c r="H25" i="12"/>
  <c r="B25" i="12"/>
  <c r="C25" i="12" s="1"/>
  <c r="H24" i="12"/>
  <c r="B24" i="12"/>
  <c r="C24" i="12" s="1"/>
  <c r="H23" i="12"/>
  <c r="B23" i="12"/>
  <c r="C23" i="12" s="1"/>
  <c r="H22" i="12"/>
  <c r="B22" i="12"/>
  <c r="C22" i="12" s="1"/>
  <c r="H21" i="12"/>
  <c r="B21" i="12"/>
  <c r="C21" i="12" s="1"/>
  <c r="H20" i="12"/>
  <c r="B20" i="12"/>
  <c r="C20" i="12" s="1"/>
  <c r="H19" i="12"/>
  <c r="B19" i="12"/>
  <c r="C19" i="12" s="1"/>
  <c r="H18" i="12"/>
  <c r="B18" i="12"/>
  <c r="C18" i="12" s="1"/>
  <c r="H17" i="12"/>
  <c r="B17" i="12"/>
  <c r="C17" i="12" s="1"/>
  <c r="H16" i="12"/>
  <c r="B16" i="12"/>
  <c r="C16" i="12" s="1"/>
  <c r="H15" i="12"/>
  <c r="B15" i="12"/>
  <c r="C15" i="12" s="1"/>
  <c r="H14" i="12"/>
  <c r="B14" i="12"/>
  <c r="C14" i="12" s="1"/>
  <c r="H13" i="12"/>
  <c r="B13" i="12"/>
  <c r="C13" i="12" s="1"/>
  <c r="H12" i="12"/>
  <c r="B12" i="12"/>
  <c r="C12" i="12" s="1"/>
  <c r="H11" i="12"/>
  <c r="C11" i="12"/>
  <c r="B11" i="12"/>
  <c r="H10" i="12"/>
  <c r="B10" i="12"/>
  <c r="C10" i="12" s="1"/>
  <c r="H9" i="12"/>
  <c r="B9" i="12"/>
  <c r="C9" i="12" s="1"/>
  <c r="H8" i="12"/>
  <c r="B8" i="12"/>
  <c r="C8" i="12" s="1"/>
  <c r="H7" i="12"/>
  <c r="C7" i="12"/>
  <c r="B7" i="12"/>
  <c r="H6" i="12"/>
  <c r="B6" i="12"/>
  <c r="C6" i="12" s="1"/>
  <c r="D17" i="14" l="1"/>
  <c r="L25" i="14"/>
  <c r="L26" i="14" s="1"/>
  <c r="H17" i="15"/>
  <c r="P25" i="14"/>
  <c r="P26" i="14" s="1"/>
  <c r="P17" i="15"/>
  <c r="O17" i="13"/>
  <c r="O27" i="13" s="1"/>
  <c r="L25" i="15"/>
  <c r="L26" i="15" s="1"/>
  <c r="F52" i="10"/>
  <c r="U2" i="11" s="1"/>
  <c r="Q77" i="9"/>
  <c r="F63" i="10" s="1"/>
  <c r="Y2" i="11" s="1"/>
  <c r="L63" i="10"/>
  <c r="L73" i="10" s="1"/>
  <c r="AT123" i="10"/>
  <c r="F53" i="10"/>
  <c r="Q73" i="9"/>
  <c r="P73" i="9"/>
  <c r="AN123" i="10"/>
  <c r="O77" i="9"/>
  <c r="J72" i="10"/>
  <c r="O73" i="9"/>
  <c r="J25" i="15"/>
  <c r="J26" i="15" s="1"/>
  <c r="G25" i="13"/>
  <c r="G26" i="13" s="1"/>
  <c r="B17" i="15"/>
  <c r="B20" i="15" s="1"/>
  <c r="R17" i="15"/>
  <c r="R21" i="15" s="1"/>
  <c r="B27" i="13"/>
  <c r="B20" i="13"/>
  <c r="B22" i="13" s="1"/>
  <c r="K25" i="13"/>
  <c r="K26" i="13" s="1"/>
  <c r="C25" i="14"/>
  <c r="C26" i="14" s="1"/>
  <c r="D17" i="15"/>
  <c r="D20" i="15" s="1"/>
  <c r="F25" i="15"/>
  <c r="F26" i="15" s="1"/>
  <c r="N25" i="15"/>
  <c r="N26" i="15" s="1"/>
  <c r="B25" i="13"/>
  <c r="B26" i="13" s="1"/>
  <c r="D6" i="12"/>
  <c r="E6" i="12" s="1"/>
  <c r="F6" i="12" s="1"/>
  <c r="G6" i="12" s="1"/>
  <c r="I6" i="12" s="1"/>
  <c r="J6" i="12" s="1"/>
  <c r="D7" i="12"/>
  <c r="E7" i="12" s="1"/>
  <c r="F7" i="12" s="1"/>
  <c r="G7" i="12" s="1"/>
  <c r="I7" i="12" s="1"/>
  <c r="J7" i="12" s="1"/>
  <c r="D11" i="12"/>
  <c r="E11" i="12" s="1"/>
  <c r="F11" i="12" s="1"/>
  <c r="G11" i="12" s="1"/>
  <c r="I11" i="12" s="1"/>
  <c r="J11" i="12" s="1"/>
  <c r="D12" i="12"/>
  <c r="E12" i="12" s="1"/>
  <c r="F12" i="12" s="1"/>
  <c r="G12" i="12" s="1"/>
  <c r="I12" i="12" s="1"/>
  <c r="J12" i="12" s="1"/>
  <c r="D13" i="12"/>
  <c r="E13" i="12" s="1"/>
  <c r="F13" i="12" s="1"/>
  <c r="G13" i="12" s="1"/>
  <c r="I13" i="12" s="1"/>
  <c r="J13" i="12" s="1"/>
  <c r="D14" i="12"/>
  <c r="E14" i="12" s="1"/>
  <c r="F14" i="12" s="1"/>
  <c r="G14" i="12" s="1"/>
  <c r="I14" i="12" s="1"/>
  <c r="J14" i="12" s="1"/>
  <c r="D15" i="12"/>
  <c r="E15" i="12" s="1"/>
  <c r="F15" i="12" s="1"/>
  <c r="G15" i="12" s="1"/>
  <c r="I15" i="12" s="1"/>
  <c r="J15" i="12" s="1"/>
  <c r="D16" i="12"/>
  <c r="E16" i="12" s="1"/>
  <c r="F16" i="12" s="1"/>
  <c r="G16" i="12" s="1"/>
  <c r="I16" i="12" s="1"/>
  <c r="J16" i="12" s="1"/>
  <c r="D17" i="12"/>
  <c r="E17" i="12" s="1"/>
  <c r="F17" i="12" s="1"/>
  <c r="G17" i="12" s="1"/>
  <c r="I17" i="12" s="1"/>
  <c r="J17" i="12" s="1"/>
  <c r="D18" i="12"/>
  <c r="E18" i="12" s="1"/>
  <c r="F18" i="12" s="1"/>
  <c r="G18" i="12" s="1"/>
  <c r="I18" i="12" s="1"/>
  <c r="J18" i="12" s="1"/>
  <c r="D20" i="12"/>
  <c r="E20" i="12" s="1"/>
  <c r="F20" i="12" s="1"/>
  <c r="G20" i="12" s="1"/>
  <c r="I20" i="12" s="1"/>
  <c r="J20" i="12" s="1"/>
  <c r="L24" i="12"/>
  <c r="D24" i="12"/>
  <c r="E24" i="12" s="1"/>
  <c r="F24" i="12" s="1"/>
  <c r="G24" i="12" s="1"/>
  <c r="I24" i="12" s="1"/>
  <c r="J24" i="12" s="1"/>
  <c r="D28" i="12"/>
  <c r="E28" i="12" s="1"/>
  <c r="F28" i="12" s="1"/>
  <c r="G28" i="12" s="1"/>
  <c r="I28" i="12" s="1"/>
  <c r="J28" i="12" s="1"/>
  <c r="D17" i="13"/>
  <c r="L17" i="13"/>
  <c r="C20" i="13"/>
  <c r="C21" i="13"/>
  <c r="C27" i="13"/>
  <c r="K13" i="12"/>
  <c r="D25" i="12"/>
  <c r="E25" i="12" s="1"/>
  <c r="F25" i="12" s="1"/>
  <c r="G25" i="12" s="1"/>
  <c r="I25" i="12" s="1"/>
  <c r="J25" i="12" s="1"/>
  <c r="D8" i="12"/>
  <c r="E8" i="12" s="1"/>
  <c r="F8" i="12" s="1"/>
  <c r="G8" i="12" s="1"/>
  <c r="I8" i="12" s="1"/>
  <c r="J8" i="12" s="1"/>
  <c r="D9" i="12"/>
  <c r="E9" i="12" s="1"/>
  <c r="F9" i="12" s="1"/>
  <c r="G9" i="12" s="1"/>
  <c r="I9" i="12" s="1"/>
  <c r="J9" i="12" s="1"/>
  <c r="D10" i="12"/>
  <c r="E10" i="12" s="1"/>
  <c r="F10" i="12" s="1"/>
  <c r="G10" i="12" s="1"/>
  <c r="I10" i="12" s="1"/>
  <c r="J10" i="12" s="1"/>
  <c r="M9" i="12"/>
  <c r="M11" i="12"/>
  <c r="M12" i="12"/>
  <c r="D19" i="12"/>
  <c r="K19" i="12" s="1"/>
  <c r="D23" i="12"/>
  <c r="L23" i="12" s="1"/>
  <c r="D27" i="12"/>
  <c r="L27" i="12" s="1"/>
  <c r="I25" i="13"/>
  <c r="I26" i="13" s="1"/>
  <c r="I17" i="13"/>
  <c r="M25" i="13"/>
  <c r="M26" i="13" s="1"/>
  <c r="M17" i="13"/>
  <c r="Q25" i="13"/>
  <c r="Q26" i="13" s="1"/>
  <c r="Q17" i="13"/>
  <c r="G20" i="13"/>
  <c r="O20" i="13"/>
  <c r="G21" i="13"/>
  <c r="O21" i="13"/>
  <c r="G27" i="13"/>
  <c r="D21" i="12"/>
  <c r="E21" i="12" s="1"/>
  <c r="F21" i="12" s="1"/>
  <c r="G21" i="12" s="1"/>
  <c r="I21" i="12" s="1"/>
  <c r="J21" i="12" s="1"/>
  <c r="K20" i="13"/>
  <c r="K22" i="13" s="1"/>
  <c r="K27" i="13"/>
  <c r="L22" i="12"/>
  <c r="D22" i="12"/>
  <c r="K22" i="12" s="1"/>
  <c r="M24" i="12"/>
  <c r="L26" i="12"/>
  <c r="D26" i="12"/>
  <c r="K26" i="12" s="1"/>
  <c r="H17" i="13"/>
  <c r="P17" i="13"/>
  <c r="D27" i="14"/>
  <c r="C20" i="14"/>
  <c r="L20" i="14"/>
  <c r="C21" i="14"/>
  <c r="L21" i="14"/>
  <c r="F17" i="13"/>
  <c r="J17" i="13"/>
  <c r="N17" i="13"/>
  <c r="R17" i="13"/>
  <c r="M17" i="14"/>
  <c r="D20" i="14"/>
  <c r="D21" i="14"/>
  <c r="D22" i="14" s="1"/>
  <c r="D30" i="14" s="1"/>
  <c r="D33" i="14" s="1"/>
  <c r="H20" i="14"/>
  <c r="P20" i="14"/>
  <c r="H21" i="14"/>
  <c r="P21" i="14"/>
  <c r="P22" i="14" s="1"/>
  <c r="P30" i="14" s="1"/>
  <c r="P33" i="14" s="1"/>
  <c r="B25" i="14"/>
  <c r="B26" i="14" s="1"/>
  <c r="B17" i="14"/>
  <c r="F25" i="14"/>
  <c r="F26" i="14" s="1"/>
  <c r="F17" i="14"/>
  <c r="J25" i="14"/>
  <c r="J26" i="14" s="1"/>
  <c r="J17" i="14"/>
  <c r="N25" i="14"/>
  <c r="N26" i="14" s="1"/>
  <c r="N17" i="14"/>
  <c r="R25" i="14"/>
  <c r="R26" i="14" s="1"/>
  <c r="R17" i="14"/>
  <c r="I17" i="14"/>
  <c r="Q17" i="14"/>
  <c r="G17" i="14"/>
  <c r="K17" i="14"/>
  <c r="O17" i="14"/>
  <c r="C17" i="15"/>
  <c r="G17" i="15"/>
  <c r="K17" i="15"/>
  <c r="O17" i="15"/>
  <c r="F27" i="15"/>
  <c r="J27" i="15"/>
  <c r="N27" i="15"/>
  <c r="R27" i="15"/>
  <c r="H20" i="15"/>
  <c r="L20" i="15"/>
  <c r="P20" i="15"/>
  <c r="H21" i="15"/>
  <c r="L21" i="15"/>
  <c r="P21" i="15"/>
  <c r="I17" i="15"/>
  <c r="M17" i="15"/>
  <c r="Q17" i="15"/>
  <c r="H27" i="15"/>
  <c r="L27" i="15"/>
  <c r="P27" i="15"/>
  <c r="F20" i="15"/>
  <c r="F22" i="15" s="1"/>
  <c r="J20" i="15"/>
  <c r="J22" i="15" s="1"/>
  <c r="N20" i="15"/>
  <c r="N22" i="15" s="1"/>
  <c r="N30" i="15" s="1"/>
  <c r="N33" i="15" s="1"/>
  <c r="R20" i="15"/>
  <c r="R22" i="15" s="1"/>
  <c r="R30" i="15" s="1"/>
  <c r="R33" i="15" s="1"/>
  <c r="J30" i="15" l="1"/>
  <c r="J33" i="15" s="1"/>
  <c r="H22" i="14"/>
  <c r="H30" i="14" s="1"/>
  <c r="H33" i="14" s="1"/>
  <c r="K23" i="12"/>
  <c r="L11" i="12"/>
  <c r="D27" i="15"/>
  <c r="D21" i="15"/>
  <c r="D22" i="15" s="1"/>
  <c r="D30" i="15" s="1"/>
  <c r="D33" i="15" s="1"/>
  <c r="K9" i="12"/>
  <c r="K24" i="12"/>
  <c r="K27" i="12"/>
  <c r="M6" i="12"/>
  <c r="K25" i="12"/>
  <c r="K6" i="12"/>
  <c r="B30" i="13"/>
  <c r="B33" i="13" s="1"/>
  <c r="X2" i="11"/>
  <c r="F73" i="10"/>
  <c r="F62" i="10"/>
  <c r="F72" i="10" s="1"/>
  <c r="F30" i="15"/>
  <c r="F33" i="15" s="1"/>
  <c r="H22" i="15"/>
  <c r="H30" i="15" s="1"/>
  <c r="H33" i="15" s="1"/>
  <c r="B21" i="15"/>
  <c r="B22" i="15" s="1"/>
  <c r="K30" i="13"/>
  <c r="K33" i="13" s="1"/>
  <c r="K36" i="13" s="1"/>
  <c r="K37" i="13" s="1"/>
  <c r="O22" i="13"/>
  <c r="O30" i="13" s="1"/>
  <c r="O33" i="13" s="1"/>
  <c r="L25" i="12"/>
  <c r="K7" i="12"/>
  <c r="B27" i="15"/>
  <c r="P22" i="15"/>
  <c r="P30" i="15" s="1"/>
  <c r="P33" i="15" s="1"/>
  <c r="L22" i="14"/>
  <c r="L30" i="14" s="1"/>
  <c r="L33" i="14" s="1"/>
  <c r="M25" i="12"/>
  <c r="M7" i="12"/>
  <c r="K15" i="12"/>
  <c r="L13" i="12"/>
  <c r="N36" i="15"/>
  <c r="N37" i="15" s="1"/>
  <c r="N35" i="15"/>
  <c r="P36" i="15"/>
  <c r="P37" i="15" s="1"/>
  <c r="P35" i="15"/>
  <c r="L35" i="14"/>
  <c r="L36" i="14"/>
  <c r="L37" i="14" s="1"/>
  <c r="J36" i="15"/>
  <c r="J37" i="15" s="1"/>
  <c r="J35" i="15"/>
  <c r="P35" i="14"/>
  <c r="P36" i="14"/>
  <c r="P37" i="14" s="1"/>
  <c r="D35" i="14"/>
  <c r="D36" i="14"/>
  <c r="D37" i="14" s="1"/>
  <c r="F36" i="15"/>
  <c r="F37" i="15" s="1"/>
  <c r="F35" i="15"/>
  <c r="D36" i="15"/>
  <c r="D37" i="15" s="1"/>
  <c r="D35" i="15"/>
  <c r="H36" i="15"/>
  <c r="H37" i="15" s="1"/>
  <c r="H35" i="15"/>
  <c r="R36" i="15"/>
  <c r="R37" i="15" s="1"/>
  <c r="R35" i="15"/>
  <c r="H35" i="14"/>
  <c r="H36" i="14"/>
  <c r="H37" i="14" s="1"/>
  <c r="J27" i="14"/>
  <c r="J21" i="14"/>
  <c r="J20" i="14"/>
  <c r="M27" i="14"/>
  <c r="M21" i="14"/>
  <c r="M20" i="14"/>
  <c r="C27" i="15"/>
  <c r="C21" i="15"/>
  <c r="C20" i="15"/>
  <c r="O21" i="14"/>
  <c r="O20" i="14"/>
  <c r="O27" i="14"/>
  <c r="R27" i="13"/>
  <c r="R21" i="13"/>
  <c r="R20" i="13"/>
  <c r="M28" i="12"/>
  <c r="M20" i="12"/>
  <c r="K21" i="12"/>
  <c r="G22" i="13"/>
  <c r="G30" i="13" s="1"/>
  <c r="G33" i="13" s="1"/>
  <c r="K18" i="12"/>
  <c r="K10" i="12"/>
  <c r="L27" i="13"/>
  <c r="L21" i="13"/>
  <c r="L20" i="13"/>
  <c r="L28" i="12"/>
  <c r="K20" i="12"/>
  <c r="L17" i="12"/>
  <c r="L15" i="12"/>
  <c r="M21" i="12"/>
  <c r="M15" i="12"/>
  <c r="M14" i="12"/>
  <c r="N27" i="14"/>
  <c r="N21" i="14"/>
  <c r="N20" i="14"/>
  <c r="N27" i="13"/>
  <c r="N21" i="13"/>
  <c r="N20" i="13"/>
  <c r="B36" i="13"/>
  <c r="B37" i="13" s="1"/>
  <c r="B35" i="13"/>
  <c r="E19" i="12"/>
  <c r="F19" i="12" s="1"/>
  <c r="G19" i="12" s="1"/>
  <c r="I19" i="12" s="1"/>
  <c r="J19" i="12" s="1"/>
  <c r="M19" i="12"/>
  <c r="D27" i="13"/>
  <c r="D21" i="13"/>
  <c r="D20" i="13"/>
  <c r="L18" i="12"/>
  <c r="M16" i="12"/>
  <c r="M17" i="12"/>
  <c r="K11" i="12"/>
  <c r="M10" i="12"/>
  <c r="Q27" i="15"/>
  <c r="Q21" i="15"/>
  <c r="Q20" i="15"/>
  <c r="O27" i="15"/>
  <c r="O21" i="15"/>
  <c r="O20" i="15"/>
  <c r="K21" i="14"/>
  <c r="K20" i="14"/>
  <c r="K27" i="14"/>
  <c r="Q27" i="14"/>
  <c r="Q21" i="14"/>
  <c r="Q20" i="14"/>
  <c r="F27" i="14"/>
  <c r="F21" i="14"/>
  <c r="F20" i="14"/>
  <c r="C22" i="14"/>
  <c r="C30" i="14" s="1"/>
  <c r="C33" i="14" s="1"/>
  <c r="M27" i="13"/>
  <c r="M21" i="13"/>
  <c r="M20" i="13"/>
  <c r="M27" i="15"/>
  <c r="M21" i="15"/>
  <c r="M20" i="15"/>
  <c r="L22" i="15"/>
  <c r="L30" i="15" s="1"/>
  <c r="L33" i="15" s="1"/>
  <c r="K27" i="15"/>
  <c r="K21" i="15"/>
  <c r="K20" i="15"/>
  <c r="G21" i="14"/>
  <c r="G20" i="14"/>
  <c r="G27" i="14"/>
  <c r="I27" i="14"/>
  <c r="I21" i="14"/>
  <c r="I20" i="14"/>
  <c r="J27" i="13"/>
  <c r="J21" i="13"/>
  <c r="J20" i="13"/>
  <c r="P27" i="13"/>
  <c r="P21" i="13"/>
  <c r="P20" i="13"/>
  <c r="E26" i="12"/>
  <c r="F26" i="12" s="1"/>
  <c r="G26" i="12" s="1"/>
  <c r="I26" i="12" s="1"/>
  <c r="J26" i="12" s="1"/>
  <c r="M26" i="12"/>
  <c r="M22" i="12"/>
  <c r="E22" i="12"/>
  <c r="F22" i="12" s="1"/>
  <c r="G22" i="12" s="1"/>
  <c r="I22" i="12" s="1"/>
  <c r="J22" i="12" s="1"/>
  <c r="L21" i="12"/>
  <c r="E27" i="12"/>
  <c r="F27" i="12" s="1"/>
  <c r="G27" i="12" s="1"/>
  <c r="I27" i="12" s="1"/>
  <c r="J27" i="12" s="1"/>
  <c r="M27" i="12"/>
  <c r="E23" i="12"/>
  <c r="F23" i="12" s="1"/>
  <c r="G23" i="12" s="1"/>
  <c r="I23" i="12" s="1"/>
  <c r="J23" i="12" s="1"/>
  <c r="M23" i="12"/>
  <c r="L19" i="12"/>
  <c r="M8" i="12"/>
  <c r="K14" i="12"/>
  <c r="K8" i="12"/>
  <c r="C22" i="13"/>
  <c r="C30" i="13" s="1"/>
  <c r="C33" i="13" s="1"/>
  <c r="K28" i="12"/>
  <c r="L20" i="12"/>
  <c r="L16" i="12"/>
  <c r="L14" i="12"/>
  <c r="L12" i="12"/>
  <c r="L10" i="12"/>
  <c r="K17" i="12"/>
  <c r="K12" i="12"/>
  <c r="M13" i="12"/>
  <c r="L7" i="12"/>
  <c r="L6" i="12"/>
  <c r="I27" i="15"/>
  <c r="I21" i="15"/>
  <c r="I20" i="15"/>
  <c r="G27" i="15"/>
  <c r="G21" i="15"/>
  <c r="G20" i="15"/>
  <c r="R27" i="14"/>
  <c r="R21" i="14"/>
  <c r="R20" i="14"/>
  <c r="B21" i="14"/>
  <c r="B20" i="14"/>
  <c r="B27" i="14"/>
  <c r="F27" i="13"/>
  <c r="F21" i="13"/>
  <c r="F20" i="13"/>
  <c r="H27" i="13"/>
  <c r="H21" i="13"/>
  <c r="H20" i="13"/>
  <c r="O35" i="13"/>
  <c r="O36" i="13"/>
  <c r="O37" i="13" s="1"/>
  <c r="Q27" i="13"/>
  <c r="Q21" i="13"/>
  <c r="Q20" i="13"/>
  <c r="I27" i="13"/>
  <c r="I21" i="13"/>
  <c r="I20" i="13"/>
  <c r="K16" i="12"/>
  <c r="L8" i="12"/>
  <c r="L9" i="12"/>
  <c r="M18" i="12"/>
  <c r="G22" i="14" l="1"/>
  <c r="G30" i="14" s="1"/>
  <c r="G33" i="14" s="1"/>
  <c r="O22" i="15"/>
  <c r="O30" i="15" s="1"/>
  <c r="O33" i="15" s="1"/>
  <c r="R22" i="13"/>
  <c r="R30" i="13" s="1"/>
  <c r="R33" i="13" s="1"/>
  <c r="O22" i="14"/>
  <c r="O30" i="14" s="1"/>
  <c r="O33" i="14" s="1"/>
  <c r="O36" i="14" s="1"/>
  <c r="O37" i="14" s="1"/>
  <c r="J22" i="14"/>
  <c r="J30" i="14" s="1"/>
  <c r="J33" i="14" s="1"/>
  <c r="K35" i="13"/>
  <c r="K22" i="15"/>
  <c r="K30" i="15" s="1"/>
  <c r="K33" i="15" s="1"/>
  <c r="F22" i="14"/>
  <c r="F30" i="14" s="1"/>
  <c r="F33" i="14" s="1"/>
  <c r="F35" i="14" s="1"/>
  <c r="K22" i="14"/>
  <c r="K30" i="14" s="1"/>
  <c r="K33" i="14" s="1"/>
  <c r="C22" i="15"/>
  <c r="C30" i="15" s="1"/>
  <c r="C33" i="15" s="1"/>
  <c r="V2" i="11"/>
  <c r="Q22" i="14"/>
  <c r="Q30" i="14" s="1"/>
  <c r="Q33" i="14" s="1"/>
  <c r="Q36" i="14" s="1"/>
  <c r="Q37" i="14" s="1"/>
  <c r="M22" i="14"/>
  <c r="M30" i="14" s="1"/>
  <c r="M33" i="14" s="1"/>
  <c r="B30" i="15"/>
  <c r="B33" i="15" s="1"/>
  <c r="P22" i="13"/>
  <c r="P30" i="13" s="1"/>
  <c r="P33" i="13" s="1"/>
  <c r="P36" i="13" s="1"/>
  <c r="P37" i="13" s="1"/>
  <c r="J22" i="13"/>
  <c r="J30" i="13" s="1"/>
  <c r="J33" i="13" s="1"/>
  <c r="J35" i="13" s="1"/>
  <c r="I22" i="14"/>
  <c r="I30" i="14" s="1"/>
  <c r="I33" i="14" s="1"/>
  <c r="Q22" i="15"/>
  <c r="Q30" i="15" s="1"/>
  <c r="Q33" i="15" s="1"/>
  <c r="Q35" i="15" s="1"/>
  <c r="L22" i="13"/>
  <c r="L30" i="13" s="1"/>
  <c r="L33" i="13" s="1"/>
  <c r="L36" i="13" s="1"/>
  <c r="L37" i="13" s="1"/>
  <c r="L35" i="13"/>
  <c r="G36" i="14"/>
  <c r="G37" i="14" s="1"/>
  <c r="G35" i="14"/>
  <c r="O36" i="15"/>
  <c r="O37" i="15" s="1"/>
  <c r="O35" i="15"/>
  <c r="R35" i="13"/>
  <c r="R36" i="13"/>
  <c r="R37" i="13" s="1"/>
  <c r="O35" i="14"/>
  <c r="J36" i="14"/>
  <c r="J37" i="14" s="1"/>
  <c r="J35" i="14"/>
  <c r="Q35" i="14"/>
  <c r="M36" i="14"/>
  <c r="M37" i="14" s="1"/>
  <c r="M35" i="14"/>
  <c r="F36" i="14"/>
  <c r="F37" i="14" s="1"/>
  <c r="C36" i="15"/>
  <c r="C37" i="15" s="1"/>
  <c r="C35" i="15"/>
  <c r="O39" i="13"/>
  <c r="O40" i="13" s="1"/>
  <c r="O38" i="13"/>
  <c r="C36" i="14"/>
  <c r="C37" i="14" s="1"/>
  <c r="C35" i="14"/>
  <c r="I22" i="13"/>
  <c r="I30" i="13" s="1"/>
  <c r="I33" i="13" s="1"/>
  <c r="Q22" i="13"/>
  <c r="Q30" i="13" s="1"/>
  <c r="Q33" i="13" s="1"/>
  <c r="B22" i="14"/>
  <c r="B30" i="14" s="1"/>
  <c r="B33" i="14" s="1"/>
  <c r="C36" i="13"/>
  <c r="C37" i="13" s="1"/>
  <c r="C35" i="13"/>
  <c r="M22" i="15"/>
  <c r="M30" i="15" s="1"/>
  <c r="M33" i="15" s="1"/>
  <c r="M22" i="13"/>
  <c r="M30" i="13" s="1"/>
  <c r="M33" i="13" s="1"/>
  <c r="B39" i="13"/>
  <c r="B40" i="13" s="1"/>
  <c r="B38" i="13"/>
  <c r="D39" i="14"/>
  <c r="D40" i="14" s="1"/>
  <c r="D38" i="14"/>
  <c r="I36" i="14"/>
  <c r="I37" i="14" s="1"/>
  <c r="I35" i="14"/>
  <c r="R39" i="15"/>
  <c r="R40" i="15" s="1"/>
  <c r="R38" i="15"/>
  <c r="D39" i="15"/>
  <c r="D40" i="15" s="1"/>
  <c r="D38" i="15"/>
  <c r="J39" i="15"/>
  <c r="J40" i="15" s="1"/>
  <c r="J38" i="15"/>
  <c r="P39" i="15"/>
  <c r="P40" i="15" s="1"/>
  <c r="P38" i="15"/>
  <c r="K39" i="13"/>
  <c r="K40" i="13" s="1"/>
  <c r="K38" i="13"/>
  <c r="K36" i="15"/>
  <c r="K37" i="15" s="1"/>
  <c r="K35" i="15"/>
  <c r="K36" i="14"/>
  <c r="K37" i="14" s="1"/>
  <c r="K35" i="14"/>
  <c r="H22" i="13"/>
  <c r="H30" i="13" s="1"/>
  <c r="H33" i="13" s="1"/>
  <c r="F22" i="13"/>
  <c r="F30" i="13" s="1"/>
  <c r="F33" i="13" s="1"/>
  <c r="R22" i="14"/>
  <c r="R30" i="14" s="1"/>
  <c r="R33" i="14" s="1"/>
  <c r="G22" i="15"/>
  <c r="G30" i="15" s="1"/>
  <c r="G33" i="15" s="1"/>
  <c r="I22" i="15"/>
  <c r="I30" i="15" s="1"/>
  <c r="I33" i="15" s="1"/>
  <c r="L36" i="15"/>
  <c r="L37" i="15" s="1"/>
  <c r="L35" i="15"/>
  <c r="D22" i="13"/>
  <c r="D30" i="13" s="1"/>
  <c r="D33" i="13" s="1"/>
  <c r="N22" i="13"/>
  <c r="N30" i="13" s="1"/>
  <c r="N33" i="13" s="1"/>
  <c r="N22" i="14"/>
  <c r="N30" i="14" s="1"/>
  <c r="N33" i="14" s="1"/>
  <c r="G35" i="13"/>
  <c r="G36" i="13"/>
  <c r="G37" i="13" s="1"/>
  <c r="H39" i="14"/>
  <c r="H40" i="14" s="1"/>
  <c r="H38" i="14"/>
  <c r="P39" i="14"/>
  <c r="P40" i="14" s="1"/>
  <c r="P38" i="14"/>
  <c r="L39" i="14"/>
  <c r="L40" i="14" s="1"/>
  <c r="L38" i="14"/>
  <c r="H39" i="15"/>
  <c r="H40" i="15" s="1"/>
  <c r="H38" i="15"/>
  <c r="F39" i="15"/>
  <c r="F40" i="15" s="1"/>
  <c r="F38" i="15"/>
  <c r="N39" i="15"/>
  <c r="N40" i="15" s="1"/>
  <c r="N38" i="15"/>
  <c r="J36" i="13" l="1"/>
  <c r="J37" i="13" s="1"/>
  <c r="P35" i="13"/>
  <c r="B36" i="15"/>
  <c r="B37" i="15" s="1"/>
  <c r="B35" i="15"/>
  <c r="Q36" i="15"/>
  <c r="Q37" i="15" s="1"/>
  <c r="Q39" i="15" s="1"/>
  <c r="Q40" i="15" s="1"/>
  <c r="G39" i="13"/>
  <c r="G40" i="13" s="1"/>
  <c r="G38" i="13"/>
  <c r="G36" i="15"/>
  <c r="G37" i="15" s="1"/>
  <c r="G35" i="15"/>
  <c r="M36" i="13"/>
  <c r="M37" i="13" s="1"/>
  <c r="M35" i="13"/>
  <c r="R35" i="14"/>
  <c r="R36" i="14"/>
  <c r="R37" i="14" s="1"/>
  <c r="K39" i="14"/>
  <c r="K40" i="14" s="1"/>
  <c r="K38" i="14"/>
  <c r="I39" i="14"/>
  <c r="I40" i="14" s="1"/>
  <c r="I38" i="14"/>
  <c r="M35" i="15"/>
  <c r="M36" i="15"/>
  <c r="M37" i="15" s="1"/>
  <c r="Q36" i="13"/>
  <c r="Q37" i="13" s="1"/>
  <c r="Q35" i="13"/>
  <c r="F39" i="14"/>
  <c r="F40" i="14" s="1"/>
  <c r="F38" i="14"/>
  <c r="N35" i="14"/>
  <c r="N36" i="14"/>
  <c r="N37" i="14" s="1"/>
  <c r="F35" i="13"/>
  <c r="F36" i="13"/>
  <c r="F37" i="13" s="1"/>
  <c r="I36" i="13"/>
  <c r="I37" i="13" s="1"/>
  <c r="I35" i="13"/>
  <c r="Q39" i="14"/>
  <c r="Q40" i="14" s="1"/>
  <c r="Q38" i="14"/>
  <c r="O39" i="14"/>
  <c r="O40" i="14" s="1"/>
  <c r="O38" i="14"/>
  <c r="O39" i="15"/>
  <c r="O40" i="15" s="1"/>
  <c r="O38" i="15"/>
  <c r="L39" i="13"/>
  <c r="L40" i="13" s="1"/>
  <c r="L38" i="13"/>
  <c r="L39" i="15"/>
  <c r="L40" i="15" s="1"/>
  <c r="L38" i="15"/>
  <c r="N35" i="13"/>
  <c r="N36" i="13"/>
  <c r="N37" i="13" s="1"/>
  <c r="I35" i="15"/>
  <c r="I36" i="15"/>
  <c r="I37" i="15" s="1"/>
  <c r="H36" i="13"/>
  <c r="H37" i="13" s="1"/>
  <c r="H35" i="13"/>
  <c r="K39" i="15"/>
  <c r="K40" i="15" s="1"/>
  <c r="K38" i="15"/>
  <c r="P39" i="13"/>
  <c r="P40" i="13" s="1"/>
  <c r="P38" i="13"/>
  <c r="C39" i="13"/>
  <c r="C40" i="13" s="1"/>
  <c r="C38" i="13"/>
  <c r="R39" i="13"/>
  <c r="R40" i="13" s="1"/>
  <c r="R38" i="13"/>
  <c r="D36" i="13"/>
  <c r="D37" i="13" s="1"/>
  <c r="D35" i="13"/>
  <c r="J39" i="13"/>
  <c r="J40" i="13" s="1"/>
  <c r="J38" i="13"/>
  <c r="B36" i="14"/>
  <c r="B37" i="14" s="1"/>
  <c r="B35" i="14"/>
  <c r="C39" i="14"/>
  <c r="C40" i="14" s="1"/>
  <c r="C38" i="14"/>
  <c r="C39" i="15"/>
  <c r="C40" i="15" s="1"/>
  <c r="C38" i="15"/>
  <c r="M39" i="14"/>
  <c r="M40" i="14" s="1"/>
  <c r="M38" i="14"/>
  <c r="J38" i="14"/>
  <c r="J39" i="14"/>
  <c r="J40" i="14" s="1"/>
  <c r="G39" i="14"/>
  <c r="G40" i="14" s="1"/>
  <c r="G38" i="14"/>
  <c r="Q38" i="15" l="1"/>
  <c r="B39" i="15"/>
  <c r="B40" i="15" s="1"/>
  <c r="B38" i="15"/>
  <c r="N39" i="13"/>
  <c r="N40" i="13" s="1"/>
  <c r="N38" i="13"/>
  <c r="N39" i="14"/>
  <c r="N40" i="14" s="1"/>
  <c r="N38" i="14"/>
  <c r="R38" i="14"/>
  <c r="R39" i="14"/>
  <c r="R40" i="14" s="1"/>
  <c r="D39" i="13"/>
  <c r="D40" i="13" s="1"/>
  <c r="D38" i="13"/>
  <c r="B39" i="14"/>
  <c r="B40" i="14" s="1"/>
  <c r="B38" i="14"/>
  <c r="H39" i="13"/>
  <c r="H40" i="13" s="1"/>
  <c r="H38" i="13"/>
  <c r="I39" i="13"/>
  <c r="I40" i="13" s="1"/>
  <c r="I38" i="13"/>
  <c r="Q39" i="13"/>
  <c r="Q40" i="13" s="1"/>
  <c r="Q38" i="13"/>
  <c r="G39" i="15"/>
  <c r="G40" i="15" s="1"/>
  <c r="G38" i="15"/>
  <c r="I39" i="15"/>
  <c r="I40" i="15" s="1"/>
  <c r="I38" i="15"/>
  <c r="F39" i="13"/>
  <c r="F40" i="13" s="1"/>
  <c r="F38" i="13"/>
  <c r="M39" i="15"/>
  <c r="M40" i="15" s="1"/>
  <c r="M38" i="15"/>
  <c r="M39" i="13"/>
  <c r="M40" i="13" s="1"/>
  <c r="M38" i="13"/>
  <c r="V6" i="2" l="1" a="1"/>
  <c r="V10" i="2" s="1"/>
  <c r="T6" i="2" a="1"/>
  <c r="T10" i="2" s="1"/>
  <c r="U6" i="2" a="1"/>
  <c r="T11" i="2" l="1"/>
  <c r="V17" i="2"/>
  <c r="V14" i="2"/>
  <c r="V15" i="2"/>
  <c r="T13" i="2"/>
  <c r="V16" i="2"/>
  <c r="T12" i="2"/>
  <c r="V19" i="2"/>
  <c r="V20" i="2"/>
  <c r="V21" i="2"/>
  <c r="V18" i="2"/>
  <c r="T15" i="2"/>
  <c r="T16" i="2"/>
  <c r="T17" i="2"/>
  <c r="T14" i="2"/>
  <c r="V7" i="2"/>
  <c r="V8" i="2"/>
  <c r="V9" i="2"/>
  <c r="V6" i="2"/>
  <c r="V22" i="2"/>
  <c r="T19" i="2"/>
  <c r="T20" i="2"/>
  <c r="T21" i="2"/>
  <c r="T18" i="2"/>
  <c r="V11" i="2"/>
  <c r="V12" i="2"/>
  <c r="V13" i="2"/>
  <c r="T7" i="2"/>
  <c r="T8" i="2"/>
  <c r="T9" i="2"/>
  <c r="T6" i="2"/>
  <c r="T22" i="2"/>
  <c r="U20" i="2"/>
  <c r="U16" i="2"/>
  <c r="U12" i="2"/>
  <c r="U8" i="2"/>
  <c r="U19" i="2"/>
  <c r="U15" i="2"/>
  <c r="U11" i="2"/>
  <c r="U7" i="2"/>
  <c r="U22" i="2"/>
  <c r="U18" i="2"/>
  <c r="U14" i="2"/>
  <c r="U10" i="2"/>
  <c r="U6" i="2"/>
  <c r="U21" i="2"/>
  <c r="U17" i="2"/>
  <c r="U13" i="2"/>
  <c r="U9" i="2"/>
  <c r="L70" i="9" l="1"/>
  <c r="M70" i="9"/>
  <c r="N70" i="9"/>
  <c r="L71" i="9"/>
  <c r="M71" i="9"/>
  <c r="N71" i="9"/>
  <c r="L51" i="10" l="1"/>
  <c r="E17" i="10"/>
  <c r="N80" i="9" l="1"/>
  <c r="N63" i="9"/>
  <c r="N68" i="9" l="1"/>
  <c r="AK123" i="10" s="1"/>
  <c r="N72" i="9"/>
  <c r="N79" i="9"/>
  <c r="N77" i="9" s="1"/>
  <c r="M80" i="9"/>
  <c r="L61" i="10" s="1"/>
  <c r="L80" i="9"/>
  <c r="M63" i="9"/>
  <c r="L63" i="9"/>
  <c r="J51" i="10" l="1"/>
  <c r="M72" i="9"/>
  <c r="N73" i="9"/>
  <c r="L71" i="10"/>
  <c r="L72" i="9"/>
  <c r="M68" i="9"/>
  <c r="AH123" i="10" s="1"/>
  <c r="M79" i="9"/>
  <c r="J61" i="10" s="1"/>
  <c r="L68" i="9"/>
  <c r="AE123" i="10" s="1"/>
  <c r="L79" i="9"/>
  <c r="J70" i="9"/>
  <c r="K70" i="9"/>
  <c r="J50" i="10" s="1"/>
  <c r="J71" i="9"/>
  <c r="K71" i="9"/>
  <c r="L50" i="10" s="1"/>
  <c r="J63" i="9"/>
  <c r="K63" i="9"/>
  <c r="F51" i="10" l="1"/>
  <c r="M73" i="9"/>
  <c r="L73" i="9"/>
  <c r="M77" i="9"/>
  <c r="J71" i="10"/>
  <c r="L77" i="9"/>
  <c r="J72" i="9"/>
  <c r="J80" i="9"/>
  <c r="K80" i="9"/>
  <c r="J79" i="9"/>
  <c r="K79" i="9"/>
  <c r="J60" i="10" s="1"/>
  <c r="K72" i="9"/>
  <c r="K68" i="9"/>
  <c r="J68" i="9"/>
  <c r="Y123" i="10" s="1"/>
  <c r="D70" i="9"/>
  <c r="D79" i="9" s="1"/>
  <c r="E70" i="9"/>
  <c r="E79" i="9" s="1"/>
  <c r="F70" i="9"/>
  <c r="F79" i="9" s="1"/>
  <c r="G70" i="9"/>
  <c r="G79" i="9" s="1"/>
  <c r="H70" i="9"/>
  <c r="I70" i="9"/>
  <c r="J49" i="10" s="1"/>
  <c r="D71" i="9"/>
  <c r="E71" i="9"/>
  <c r="E80" i="9" s="1"/>
  <c r="F71" i="9"/>
  <c r="F80" i="9" s="1"/>
  <c r="G71" i="9"/>
  <c r="H71" i="9"/>
  <c r="H80" i="9" s="1"/>
  <c r="I71" i="9"/>
  <c r="L49" i="10" s="1"/>
  <c r="C71" i="9"/>
  <c r="C70" i="9"/>
  <c r="I63" i="9"/>
  <c r="H63" i="9"/>
  <c r="G63" i="9"/>
  <c r="BE111" i="10"/>
  <c r="BE112" i="10"/>
  <c r="E14" i="10"/>
  <c r="BA14" i="10" s="1"/>
  <c r="W56" i="9"/>
  <c r="E39" i="10"/>
  <c r="BA39" i="10" s="1"/>
  <c r="B38" i="10"/>
  <c r="E36" i="10"/>
  <c r="BA36" i="10" s="1"/>
  <c r="B35" i="10"/>
  <c r="D31" i="9"/>
  <c r="D30" i="9"/>
  <c r="D19" i="9"/>
  <c r="D89" i="9"/>
  <c r="D44" i="9"/>
  <c r="D41" i="9"/>
  <c r="D103" i="9"/>
  <c r="D98" i="9"/>
  <c r="D165" i="9"/>
  <c r="D164" i="9"/>
  <c r="D163" i="9"/>
  <c r="D48" i="9"/>
  <c r="C48" i="9"/>
  <c r="D106" i="9"/>
  <c r="A119" i="10"/>
  <c r="A118" i="10"/>
  <c r="A117" i="10"/>
  <c r="BA17" i="10"/>
  <c r="A116" i="10"/>
  <c r="D27" i="9"/>
  <c r="D28" i="9"/>
  <c r="D29" i="9"/>
  <c r="D26" i="9"/>
  <c r="E91" i="10"/>
  <c r="BA91" i="10" s="1"/>
  <c r="E42" i="10"/>
  <c r="BA42" i="10" s="1"/>
  <c r="G41" i="10"/>
  <c r="D162" i="9"/>
  <c r="E33" i="10"/>
  <c r="BA33" i="10" s="1"/>
  <c r="E30" i="10"/>
  <c r="BA30" i="10" s="1"/>
  <c r="E27" i="10"/>
  <c r="BA27" i="10" s="1"/>
  <c r="E24" i="10"/>
  <c r="BA24" i="10" s="1"/>
  <c r="O21" i="10"/>
  <c r="C24" i="9"/>
  <c r="E6" i="10"/>
  <c r="BA6" i="10" s="1"/>
  <c r="E7" i="10"/>
  <c r="BA7" i="10" s="1"/>
  <c r="E8" i="10"/>
  <c r="BA8" i="10" s="1"/>
  <c r="E9" i="10"/>
  <c r="BA9" i="10" s="1"/>
  <c r="E10" i="10"/>
  <c r="BA10" i="10" s="1"/>
  <c r="E5" i="10"/>
  <c r="K2" i="11" s="1"/>
  <c r="T126" i="9"/>
  <c r="T124" i="9"/>
  <c r="I88" i="10"/>
  <c r="L98" i="10"/>
  <c r="L99" i="10"/>
  <c r="L100" i="10"/>
  <c r="L97" i="10"/>
  <c r="C48" i="6"/>
  <c r="C47" i="6"/>
  <c r="E124" i="9"/>
  <c r="G124" i="9" s="1"/>
  <c r="A2" i="11"/>
  <c r="A3" i="10"/>
  <c r="F63" i="9"/>
  <c r="E63" i="9"/>
  <c r="D63" i="9"/>
  <c r="C63" i="9"/>
  <c r="B85" i="10"/>
  <c r="E20" i="10"/>
  <c r="BA20" i="10" s="1"/>
  <c r="E126" i="9"/>
  <c r="G126" i="9" s="1"/>
  <c r="K3" i="2"/>
  <c r="K4" i="2"/>
  <c r="K5" i="2"/>
  <c r="K6" i="2"/>
  <c r="K7" i="2"/>
  <c r="K8" i="2"/>
  <c r="K9" i="2"/>
  <c r="K10" i="2"/>
  <c r="K11" i="2"/>
  <c r="K12" i="2"/>
  <c r="K13" i="2"/>
  <c r="K14" i="2"/>
  <c r="K15" i="2"/>
  <c r="K16" i="2"/>
  <c r="K17" i="2"/>
  <c r="K18" i="2"/>
  <c r="K19" i="2"/>
  <c r="K20" i="2"/>
  <c r="K21" i="2"/>
  <c r="K22" i="2"/>
  <c r="K23" i="2"/>
  <c r="K24" i="2"/>
  <c r="K2" i="2"/>
  <c r="C123" i="9"/>
  <c r="D123" i="9" s="1"/>
  <c r="C122" i="9"/>
  <c r="D122" i="9" s="1"/>
  <c r="C121" i="9"/>
  <c r="D121" i="9" s="1"/>
  <c r="C120" i="9"/>
  <c r="D120" i="9" s="1"/>
  <c r="D52" i="9"/>
  <c r="D53" i="9" s="1"/>
  <c r="C52" i="9"/>
  <c r="C53" i="9" s="1"/>
  <c r="B2" i="6"/>
  <c r="B3" i="6" s="1"/>
  <c r="H28" i="7"/>
  <c r="C28" i="7"/>
  <c r="M28" i="7" s="1"/>
  <c r="H27" i="7"/>
  <c r="C27" i="7"/>
  <c r="L27" i="7" s="1"/>
  <c r="H26" i="7"/>
  <c r="C26" i="7"/>
  <c r="L26" i="7" s="1"/>
  <c r="H25" i="7"/>
  <c r="C25" i="7"/>
  <c r="M25" i="7" s="1"/>
  <c r="H24" i="7"/>
  <c r="C24" i="7"/>
  <c r="M24" i="7" s="1"/>
  <c r="H23" i="7"/>
  <c r="C23" i="7"/>
  <c r="D23" i="7" s="1"/>
  <c r="E23" i="7" s="1"/>
  <c r="F23" i="7" s="1"/>
  <c r="G23" i="7" s="1"/>
  <c r="I23" i="7" s="1"/>
  <c r="J23" i="7" s="1"/>
  <c r="H22" i="7"/>
  <c r="C22" i="7"/>
  <c r="K22" i="7" s="1"/>
  <c r="H21" i="7"/>
  <c r="C21" i="7"/>
  <c r="K21" i="7" s="1"/>
  <c r="H20" i="7"/>
  <c r="C20" i="7"/>
  <c r="M20" i="7" s="1"/>
  <c r="H19" i="7"/>
  <c r="C19" i="7"/>
  <c r="M19" i="7" s="1"/>
  <c r="H18" i="7"/>
  <c r="C18" i="7"/>
  <c r="K18" i="7"/>
  <c r="H17" i="7"/>
  <c r="C17" i="7"/>
  <c r="M17" i="7" s="1"/>
  <c r="H16" i="7"/>
  <c r="C16" i="7"/>
  <c r="M16" i="7" s="1"/>
  <c r="H15" i="7"/>
  <c r="C15" i="7"/>
  <c r="M15" i="7" s="1"/>
  <c r="H14" i="7"/>
  <c r="C14" i="7"/>
  <c r="H13" i="7"/>
  <c r="C13" i="7"/>
  <c r="M13" i="7" s="1"/>
  <c r="H12" i="7"/>
  <c r="C12" i="7"/>
  <c r="H11" i="7"/>
  <c r="C11" i="7"/>
  <c r="D11" i="7" s="1"/>
  <c r="E11" i="7" s="1"/>
  <c r="F11" i="7" s="1"/>
  <c r="G11" i="7" s="1"/>
  <c r="M11" i="7"/>
  <c r="H10" i="7"/>
  <c r="C10" i="7"/>
  <c r="L10" i="7" s="1"/>
  <c r="H9" i="7"/>
  <c r="C9" i="7"/>
  <c r="M9" i="7" s="1"/>
  <c r="H8" i="7"/>
  <c r="C8" i="7"/>
  <c r="K8" i="7" s="1"/>
  <c r="H7" i="7"/>
  <c r="C7" i="7"/>
  <c r="K7" i="7" s="1"/>
  <c r="C6" i="7"/>
  <c r="D6" i="7" s="1"/>
  <c r="E6" i="7" s="1"/>
  <c r="F6" i="7" s="1"/>
  <c r="G6" i="7" s="1"/>
  <c r="I6" i="7" s="1"/>
  <c r="J6" i="7" s="1"/>
  <c r="H6" i="7"/>
  <c r="R30" i="6"/>
  <c r="Q30" i="6"/>
  <c r="P30" i="6"/>
  <c r="O30" i="6"/>
  <c r="N30" i="6"/>
  <c r="M30" i="6"/>
  <c r="L30" i="6"/>
  <c r="K30" i="6"/>
  <c r="J30" i="6"/>
  <c r="I30" i="6"/>
  <c r="H30" i="6"/>
  <c r="G30" i="6"/>
  <c r="F30" i="6"/>
  <c r="E30" i="6"/>
  <c r="D30" i="6"/>
  <c r="C30" i="6"/>
  <c r="B30" i="6"/>
  <c r="R16" i="6"/>
  <c r="R17" i="6" s="1"/>
  <c r="R20" i="6" s="1"/>
  <c r="Q16" i="6"/>
  <c r="Q17" i="6" s="1"/>
  <c r="P16" i="6"/>
  <c r="P24" i="6" s="1"/>
  <c r="P25" i="6" s="1"/>
  <c r="O16" i="6"/>
  <c r="O17" i="6" s="1"/>
  <c r="N16" i="6"/>
  <c r="N17" i="6" s="1"/>
  <c r="M16" i="6"/>
  <c r="M24" i="6" s="1"/>
  <c r="M25" i="6" s="1"/>
  <c r="L16" i="6"/>
  <c r="K16" i="6"/>
  <c r="K24" i="6"/>
  <c r="K25" i="6" s="1"/>
  <c r="J16" i="6"/>
  <c r="J24" i="6" s="1"/>
  <c r="J25" i="6" s="1"/>
  <c r="I16" i="6"/>
  <c r="I24" i="6" s="1"/>
  <c r="I25" i="6" s="1"/>
  <c r="H16" i="6"/>
  <c r="H24" i="6" s="1"/>
  <c r="H25" i="6" s="1"/>
  <c r="G16" i="6"/>
  <c r="G24" i="6" s="1"/>
  <c r="G25" i="6" s="1"/>
  <c r="F16" i="6"/>
  <c r="E16" i="6"/>
  <c r="E17" i="6"/>
  <c r="E26" i="6" s="1"/>
  <c r="D16" i="6"/>
  <c r="C16" i="6"/>
  <c r="C24" i="6" s="1"/>
  <c r="C25" i="6" s="1"/>
  <c r="B16" i="6"/>
  <c r="B24" i="6" s="1"/>
  <c r="B25" i="6" s="1"/>
  <c r="B17" i="6"/>
  <c r="B26" i="6" s="1"/>
  <c r="C17" i="6"/>
  <c r="C20" i="6" s="1"/>
  <c r="K9" i="7"/>
  <c r="K26" i="7"/>
  <c r="L23" i="7"/>
  <c r="P17" i="6"/>
  <c r="P20" i="6" s="1"/>
  <c r="E24" i="6"/>
  <c r="E25" i="6" s="1"/>
  <c r="I17" i="6"/>
  <c r="I20" i="6" s="1"/>
  <c r="L20" i="7"/>
  <c r="M23" i="7"/>
  <c r="K11" i="7"/>
  <c r="K28" i="7"/>
  <c r="L22" i="7"/>
  <c r="C26" i="6"/>
  <c r="D18" i="7"/>
  <c r="E18" i="7" s="1"/>
  <c r="F18" i="7" s="1"/>
  <c r="G18" i="7" s="1"/>
  <c r="I18" i="7" s="1"/>
  <c r="J18" i="7" s="1"/>
  <c r="D20" i="7"/>
  <c r="E20" i="7" s="1"/>
  <c r="F20" i="7" s="1"/>
  <c r="G20" i="7" s="1"/>
  <c r="K14" i="7"/>
  <c r="L18" i="7"/>
  <c r="M14" i="7"/>
  <c r="M18" i="7"/>
  <c r="K12" i="7"/>
  <c r="K16" i="7"/>
  <c r="K20" i="7"/>
  <c r="L12" i="7"/>
  <c r="L16" i="7"/>
  <c r="Q24" i="6"/>
  <c r="Q25" i="6" s="1"/>
  <c r="G17" i="6"/>
  <c r="G20" i="6" s="1"/>
  <c r="D17" i="6"/>
  <c r="D21" i="6" s="1"/>
  <c r="D24" i="6"/>
  <c r="D25" i="6"/>
  <c r="M12" i="7"/>
  <c r="D12" i="7"/>
  <c r="E12" i="7" s="1"/>
  <c r="F12" i="7" s="1"/>
  <c r="G12" i="7" s="1"/>
  <c r="L25" i="7"/>
  <c r="O24" i="6"/>
  <c r="O25" i="6" s="1"/>
  <c r="K17" i="6"/>
  <c r="K26" i="6" s="1"/>
  <c r="D8" i="7"/>
  <c r="E8" i="7" s="1"/>
  <c r="F8" i="7" s="1"/>
  <c r="G8" i="7" s="1"/>
  <c r="I8" i="7" s="1"/>
  <c r="J8" i="7" s="1"/>
  <c r="M22" i="7"/>
  <c r="D22" i="7"/>
  <c r="E22" i="7" s="1"/>
  <c r="F22" i="7" s="1"/>
  <c r="G22" i="7" s="1"/>
  <c r="K20" i="6"/>
  <c r="G26" i="6"/>
  <c r="K21" i="6"/>
  <c r="K22" i="6" s="1"/>
  <c r="E21" i="6"/>
  <c r="M21" i="7"/>
  <c r="L21" i="7"/>
  <c r="D21" i="7"/>
  <c r="E21" i="7"/>
  <c r="F21" i="7" s="1"/>
  <c r="G21" i="7" s="1"/>
  <c r="I21" i="7" s="1"/>
  <c r="J21" i="7" s="1"/>
  <c r="L24" i="6"/>
  <c r="L25" i="6" s="1"/>
  <c r="L17" i="6"/>
  <c r="L21" i="6" s="1"/>
  <c r="O20" i="6"/>
  <c r="D14" i="7"/>
  <c r="E14" i="7" s="1"/>
  <c r="F14" i="7" s="1"/>
  <c r="G14" i="7" s="1"/>
  <c r="L14" i="7"/>
  <c r="L15" i="7"/>
  <c r="F24" i="6"/>
  <c r="F25" i="6" s="1"/>
  <c r="F17" i="6"/>
  <c r="F20" i="6" s="1"/>
  <c r="R26" i="6"/>
  <c r="K19" i="7"/>
  <c r="L19" i="7"/>
  <c r="D19" i="7"/>
  <c r="E19" i="7" s="1"/>
  <c r="F19" i="7" s="1"/>
  <c r="G19" i="7" s="1"/>
  <c r="I19" i="7" s="1"/>
  <c r="J19" i="7" s="1"/>
  <c r="I14" i="7" l="1"/>
  <c r="J14" i="7" s="1"/>
  <c r="D7" i="7"/>
  <c r="E7" i="7" s="1"/>
  <c r="F7" i="7" s="1"/>
  <c r="G7" i="7" s="1"/>
  <c r="I7" i="7" s="1"/>
  <c r="J7" i="7" s="1"/>
  <c r="R24" i="6"/>
  <c r="R25" i="6" s="1"/>
  <c r="K25" i="7"/>
  <c r="L9" i="7"/>
  <c r="I11" i="7"/>
  <c r="J11" i="7" s="1"/>
  <c r="M7" i="7"/>
  <c r="D25" i="7"/>
  <c r="E25" i="7" s="1"/>
  <c r="F25" i="7" s="1"/>
  <c r="G25" i="7" s="1"/>
  <c r="I25" i="7" s="1"/>
  <c r="J25" i="7" s="1"/>
  <c r="K27" i="7"/>
  <c r="M27" i="7"/>
  <c r="D16" i="7"/>
  <c r="E16" i="7" s="1"/>
  <c r="F16" i="7" s="1"/>
  <c r="G16" i="7" s="1"/>
  <c r="K23" i="7"/>
  <c r="D28" i="7"/>
  <c r="E28" i="7" s="1"/>
  <c r="F28" i="7" s="1"/>
  <c r="G28" i="7" s="1"/>
  <c r="I28" i="7" s="1"/>
  <c r="J28" i="7" s="1"/>
  <c r="R21" i="6"/>
  <c r="R22" i="6" s="1"/>
  <c r="L7" i="7"/>
  <c r="B21" i="6"/>
  <c r="I12" i="7"/>
  <c r="J12" i="7" s="1"/>
  <c r="D27" i="7"/>
  <c r="E27" i="7" s="1"/>
  <c r="F27" i="7" s="1"/>
  <c r="G27" i="7" s="1"/>
  <c r="I27" i="7" s="1"/>
  <c r="J27" i="7" s="1"/>
  <c r="D9" i="7"/>
  <c r="E9" i="7" s="1"/>
  <c r="F9" i="7" s="1"/>
  <c r="G9" i="7" s="1"/>
  <c r="I9" i="7" s="1"/>
  <c r="J9" i="7" s="1"/>
  <c r="H17" i="6"/>
  <c r="C84" i="9"/>
  <c r="C85" i="9" s="1"/>
  <c r="F50" i="10"/>
  <c r="AB123" i="10"/>
  <c r="R29" i="6"/>
  <c r="R32" i="6" s="1"/>
  <c r="Q21" i="6"/>
  <c r="Q20" i="6"/>
  <c r="Q26" i="6"/>
  <c r="K15" i="7"/>
  <c r="D20" i="6"/>
  <c r="D22" i="6" s="1"/>
  <c r="J17" i="6"/>
  <c r="M17" i="6"/>
  <c r="K6" i="7"/>
  <c r="C21" i="6"/>
  <c r="C22" i="6" s="1"/>
  <c r="C29" i="6" s="1"/>
  <c r="C32" i="6" s="1"/>
  <c r="D26" i="6"/>
  <c r="G21" i="6"/>
  <c r="G22" i="6" s="1"/>
  <c r="G29" i="6" s="1"/>
  <c r="G32" i="6" s="1"/>
  <c r="I22" i="7"/>
  <c r="J22" i="7" s="1"/>
  <c r="D10" i="7"/>
  <c r="E10" i="7" s="1"/>
  <c r="F10" i="7" s="1"/>
  <c r="G10" i="7" s="1"/>
  <c r="I10" i="7" s="1"/>
  <c r="J10" i="7" s="1"/>
  <c r="P26" i="6"/>
  <c r="L13" i="7"/>
  <c r="K17" i="7"/>
  <c r="D26" i="7"/>
  <c r="E26" i="7" s="1"/>
  <c r="F26" i="7" s="1"/>
  <c r="G26" i="7" s="1"/>
  <c r="I26" i="7" s="1"/>
  <c r="J26" i="7" s="1"/>
  <c r="M26" i="7"/>
  <c r="L24" i="7"/>
  <c r="D13" i="7"/>
  <c r="E13" i="7" s="1"/>
  <c r="F13" i="7" s="1"/>
  <c r="G13" i="7" s="1"/>
  <c r="I13" i="7" s="1"/>
  <c r="J13" i="7" s="1"/>
  <c r="D17" i="7"/>
  <c r="E17" i="7" s="1"/>
  <c r="F17" i="7" s="1"/>
  <c r="G17" i="7" s="1"/>
  <c r="I17" i="7" s="1"/>
  <c r="J17" i="7" s="1"/>
  <c r="K29" i="6"/>
  <c r="K32" i="6" s="1"/>
  <c r="K34" i="6" s="1"/>
  <c r="I16" i="7"/>
  <c r="J16" i="7" s="1"/>
  <c r="L17" i="7"/>
  <c r="L8" i="7"/>
  <c r="K24" i="7"/>
  <c r="D15" i="7"/>
  <c r="E15" i="7" s="1"/>
  <c r="F15" i="7" s="1"/>
  <c r="G15" i="7" s="1"/>
  <c r="I15" i="7" s="1"/>
  <c r="J15" i="7" s="1"/>
  <c r="B20" i="6"/>
  <c r="P21" i="6"/>
  <c r="P22" i="6" s="1"/>
  <c r="H26" i="6"/>
  <c r="I26" i="6"/>
  <c r="L20" i="6"/>
  <c r="L22" i="6" s="1"/>
  <c r="E20" i="6"/>
  <c r="E22" i="6" s="1"/>
  <c r="E29" i="6" s="1"/>
  <c r="E32" i="6" s="1"/>
  <c r="L6" i="7"/>
  <c r="I20" i="7"/>
  <c r="J20" i="7" s="1"/>
  <c r="I21" i="6"/>
  <c r="L28" i="7"/>
  <c r="L11" i="7"/>
  <c r="K13" i="7"/>
  <c r="M10" i="7"/>
  <c r="K10" i="7"/>
  <c r="M8" i="7"/>
  <c r="D24" i="7"/>
  <c r="E24" i="7" s="1"/>
  <c r="F24" i="7" s="1"/>
  <c r="G24" i="7" s="1"/>
  <c r="I24" i="7" s="1"/>
  <c r="J24" i="7" s="1"/>
  <c r="N24" i="6"/>
  <c r="N25" i="6" s="1"/>
  <c r="I22" i="6"/>
  <c r="M6" i="7"/>
  <c r="F61" i="10"/>
  <c r="S2" i="11" s="1"/>
  <c r="R35" i="6"/>
  <c r="R36" i="6" s="1"/>
  <c r="R37" i="6" s="1"/>
  <c r="R34" i="6"/>
  <c r="C34" i="6"/>
  <c r="C35" i="6"/>
  <c r="C36" i="6" s="1"/>
  <c r="C37" i="6" s="1"/>
  <c r="K35" i="6"/>
  <c r="K36" i="6" s="1"/>
  <c r="K37" i="6" s="1"/>
  <c r="J20" i="6"/>
  <c r="L26" i="6"/>
  <c r="F26" i="6"/>
  <c r="F21" i="6"/>
  <c r="F22" i="6" s="1"/>
  <c r="O21" i="6"/>
  <c r="O22" i="6" s="1"/>
  <c r="O26" i="6"/>
  <c r="N20" i="6"/>
  <c r="N26" i="6"/>
  <c r="N21" i="6"/>
  <c r="L60" i="10"/>
  <c r="L70" i="10" s="1"/>
  <c r="R2" i="11"/>
  <c r="J70" i="10"/>
  <c r="BA5" i="10"/>
  <c r="L46" i="10"/>
  <c r="D72" i="9"/>
  <c r="D80" i="9"/>
  <c r="D77" i="9" s="1"/>
  <c r="I79" i="9"/>
  <c r="J59" i="10" s="1"/>
  <c r="J69" i="10" s="1"/>
  <c r="J77" i="9"/>
  <c r="K77" i="9"/>
  <c r="F60" i="10" s="1"/>
  <c r="K73" i="9"/>
  <c r="J73" i="9"/>
  <c r="C80" i="9"/>
  <c r="C72" i="9"/>
  <c r="I72" i="9"/>
  <c r="L48" i="10"/>
  <c r="I80" i="9"/>
  <c r="L59" i="10" s="1"/>
  <c r="E68" i="9"/>
  <c r="J123" i="10" s="1"/>
  <c r="E72" i="9"/>
  <c r="I68" i="9"/>
  <c r="C68" i="9"/>
  <c r="F68" i="9"/>
  <c r="M123" i="10" s="1"/>
  <c r="J46" i="10"/>
  <c r="E77" i="9"/>
  <c r="L57" i="10"/>
  <c r="H68" i="9"/>
  <c r="S123" i="10" s="1"/>
  <c r="G80" i="9"/>
  <c r="L58" i="10" s="1"/>
  <c r="L47" i="10"/>
  <c r="J57" i="10"/>
  <c r="F77" i="9"/>
  <c r="F72" i="9"/>
  <c r="J47" i="10"/>
  <c r="C79" i="9"/>
  <c r="G68" i="9"/>
  <c r="P123" i="10" s="1"/>
  <c r="D68" i="9"/>
  <c r="G123" i="10" s="1"/>
  <c r="G72" i="9"/>
  <c r="H72" i="9"/>
  <c r="J48" i="10"/>
  <c r="H79" i="9"/>
  <c r="H77" i="9" s="1"/>
  <c r="C38" i="6"/>
  <c r="C39" i="6" s="1"/>
  <c r="R38" i="6"/>
  <c r="H21" i="6" l="1"/>
  <c r="H20" i="6"/>
  <c r="P29" i="6"/>
  <c r="P32" i="6" s="1"/>
  <c r="R39" i="6"/>
  <c r="K38" i="6"/>
  <c r="K39" i="6" s="1"/>
  <c r="L29" i="6"/>
  <c r="L32" i="6" s="1"/>
  <c r="B22" i="6"/>
  <c r="B29" i="6" s="1"/>
  <c r="B32" i="6" s="1"/>
  <c r="D29" i="6"/>
  <c r="D32" i="6" s="1"/>
  <c r="D35" i="6" s="1"/>
  <c r="D36" i="6" s="1"/>
  <c r="D37" i="6" s="1"/>
  <c r="O6" i="2" a="1"/>
  <c r="O28" i="2" s="1"/>
  <c r="G24" i="2" s="1"/>
  <c r="D123" i="10"/>
  <c r="C83" i="9"/>
  <c r="F49" i="10"/>
  <c r="L2" i="11" s="1"/>
  <c r="V123" i="10"/>
  <c r="E35" i="6"/>
  <c r="E36" i="6" s="1"/>
  <c r="E34" i="6"/>
  <c r="B35" i="6"/>
  <c r="B36" i="6" s="1"/>
  <c r="B34" i="6"/>
  <c r="O8" i="2"/>
  <c r="G4" i="2" s="1"/>
  <c r="O10" i="2"/>
  <c r="G6" i="2" s="1"/>
  <c r="O7" i="2"/>
  <c r="G3" i="2" s="1"/>
  <c r="O26" i="2"/>
  <c r="G22" i="2" s="1"/>
  <c r="O9" i="2"/>
  <c r="G5" i="2" s="1"/>
  <c r="G35" i="6"/>
  <c r="G36" i="6" s="1"/>
  <c r="G34" i="6"/>
  <c r="P6" i="2" a="1"/>
  <c r="N22" i="6"/>
  <c r="D34" i="6"/>
  <c r="I29" i="6"/>
  <c r="I32" i="6" s="1"/>
  <c r="M26" i="6"/>
  <c r="M20" i="6"/>
  <c r="M21" i="6"/>
  <c r="M22" i="6" s="1"/>
  <c r="M29" i="6" s="1"/>
  <c r="M32" i="6" s="1"/>
  <c r="F29" i="6"/>
  <c r="F32" i="6" s="1"/>
  <c r="F35" i="6" s="1"/>
  <c r="F36" i="6" s="1"/>
  <c r="P35" i="6"/>
  <c r="P36" i="6" s="1"/>
  <c r="P34" i="6"/>
  <c r="J21" i="6"/>
  <c r="J22" i="6" s="1"/>
  <c r="J26" i="6"/>
  <c r="Q22" i="6"/>
  <c r="Q29" i="6" s="1"/>
  <c r="Q32" i="6" s="1"/>
  <c r="F71" i="10"/>
  <c r="L35" i="6"/>
  <c r="L36" i="6" s="1"/>
  <c r="L34" i="6"/>
  <c r="D38" i="6"/>
  <c r="N29" i="6"/>
  <c r="N32" i="6" s="1"/>
  <c r="O29" i="6"/>
  <c r="O32" i="6" s="1"/>
  <c r="F34" i="6"/>
  <c r="P2" i="11"/>
  <c r="G73" i="9"/>
  <c r="I73" i="9"/>
  <c r="L56" i="10"/>
  <c r="L66" i="10" s="1"/>
  <c r="E73" i="9"/>
  <c r="F73" i="9"/>
  <c r="C99" i="9"/>
  <c r="G120" i="9" s="1"/>
  <c r="F47" i="10"/>
  <c r="C2" i="11" s="1"/>
  <c r="F70" i="10"/>
  <c r="O2" i="11"/>
  <c r="L69" i="10"/>
  <c r="C73" i="9"/>
  <c r="L68" i="10"/>
  <c r="G77" i="9"/>
  <c r="I77" i="9"/>
  <c r="H73" i="9"/>
  <c r="J67" i="10"/>
  <c r="L67" i="10"/>
  <c r="F57" i="10"/>
  <c r="F2" i="11" s="1"/>
  <c r="J58" i="10"/>
  <c r="J68" i="10" s="1"/>
  <c r="F48" i="10"/>
  <c r="D2" i="11" s="1"/>
  <c r="F46" i="10"/>
  <c r="D73" i="9"/>
  <c r="C77" i="9"/>
  <c r="F56" i="10" s="1"/>
  <c r="E2" i="11" s="1"/>
  <c r="J56" i="10"/>
  <c r="J66" i="10" s="1"/>
  <c r="F58" i="10"/>
  <c r="G2" i="11" s="1"/>
  <c r="O22" i="2" l="1"/>
  <c r="G18" i="2" s="1"/>
  <c r="O16" i="2"/>
  <c r="G12" i="2" s="1"/>
  <c r="O13" i="2"/>
  <c r="G9" i="2" s="1"/>
  <c r="O6" i="2"/>
  <c r="G2" i="2" s="1"/>
  <c r="O27" i="2"/>
  <c r="G23" i="2" s="1"/>
  <c r="O12" i="2"/>
  <c r="G8" i="2" s="1"/>
  <c r="O14" i="2"/>
  <c r="G10" i="2" s="1"/>
  <c r="O11" i="2"/>
  <c r="G7" i="2" s="1"/>
  <c r="O23" i="2"/>
  <c r="G19" i="2" s="1"/>
  <c r="O19" i="2"/>
  <c r="G15" i="2" s="1"/>
  <c r="O20" i="2"/>
  <c r="G16" i="2" s="1"/>
  <c r="O21" i="2"/>
  <c r="G17" i="2" s="1"/>
  <c r="O15" i="2"/>
  <c r="G11" i="2" s="1"/>
  <c r="O25" i="2"/>
  <c r="G21" i="2" s="1"/>
  <c r="O24" i="2"/>
  <c r="G20" i="2" s="1"/>
  <c r="O17" i="2"/>
  <c r="G13" i="2" s="1"/>
  <c r="O18" i="2"/>
  <c r="G14" i="2" s="1"/>
  <c r="D39" i="6"/>
  <c r="H22" i="6"/>
  <c r="H29" i="6" s="1"/>
  <c r="H32" i="6" s="1"/>
  <c r="M35" i="6"/>
  <c r="M36" i="6" s="1"/>
  <c r="M34" i="6"/>
  <c r="G37" i="6"/>
  <c r="G38" i="6"/>
  <c r="G39" i="6" s="1"/>
  <c r="J29" i="6"/>
  <c r="J32" i="6" s="1"/>
  <c r="I34" i="6"/>
  <c r="I35" i="6"/>
  <c r="I36" i="6" s="1"/>
  <c r="B37" i="6"/>
  <c r="B38" i="6"/>
  <c r="B39" i="6" s="1"/>
  <c r="P28" i="2"/>
  <c r="H24" i="2" s="1"/>
  <c r="L24" i="2" s="1"/>
  <c r="P13" i="2"/>
  <c r="H9" i="2" s="1"/>
  <c r="P6" i="2"/>
  <c r="H2" i="2" s="1"/>
  <c r="P22" i="2"/>
  <c r="H18" i="2" s="1"/>
  <c r="P15" i="2"/>
  <c r="H11" i="2" s="1"/>
  <c r="P8" i="2"/>
  <c r="H4" i="2" s="1"/>
  <c r="P24" i="2"/>
  <c r="H20" i="2" s="1"/>
  <c r="L20" i="2" s="1"/>
  <c r="P9" i="2"/>
  <c r="H5" i="2" s="1"/>
  <c r="P27" i="2"/>
  <c r="H23" i="2" s="1"/>
  <c r="L23" i="2" s="1"/>
  <c r="P17" i="2"/>
  <c r="H13" i="2" s="1"/>
  <c r="P10" i="2"/>
  <c r="H6" i="2" s="1"/>
  <c r="P26" i="2"/>
  <c r="H22" i="2" s="1"/>
  <c r="L22" i="2" s="1"/>
  <c r="P19" i="2"/>
  <c r="H15" i="2" s="1"/>
  <c r="P12" i="2"/>
  <c r="H8" i="2" s="1"/>
  <c r="P21" i="2"/>
  <c r="H17" i="2" s="1"/>
  <c r="P14" i="2"/>
  <c r="H10" i="2" s="1"/>
  <c r="P7" i="2"/>
  <c r="H3" i="2" s="1"/>
  <c r="P23" i="2"/>
  <c r="H19" i="2" s="1"/>
  <c r="L19" i="2" s="1"/>
  <c r="P16" i="2"/>
  <c r="H12" i="2" s="1"/>
  <c r="P25" i="2"/>
  <c r="H21" i="2" s="1"/>
  <c r="L21" i="2" s="1"/>
  <c r="P18" i="2"/>
  <c r="H14" i="2" s="1"/>
  <c r="P11" i="2"/>
  <c r="H7" i="2" s="1"/>
  <c r="P20" i="2"/>
  <c r="H16" i="2" s="1"/>
  <c r="Q35" i="6"/>
  <c r="Q36" i="6" s="1"/>
  <c r="Q34" i="6"/>
  <c r="P37" i="6"/>
  <c r="P38" i="6"/>
  <c r="P39" i="6" s="1"/>
  <c r="E37" i="6"/>
  <c r="E38" i="6"/>
  <c r="E39" i="6" s="1"/>
  <c r="O35" i="6"/>
  <c r="O36" i="6" s="1"/>
  <c r="O34" i="6"/>
  <c r="L37" i="6"/>
  <c r="L38" i="6"/>
  <c r="L39" i="6" s="1"/>
  <c r="F37" i="6"/>
  <c r="F38" i="6"/>
  <c r="F39" i="6" s="1"/>
  <c r="N35" i="6"/>
  <c r="N36" i="6" s="1"/>
  <c r="N34" i="6"/>
  <c r="F59" i="10"/>
  <c r="M2" i="11" s="1"/>
  <c r="F67" i="10"/>
  <c r="H128" i="9"/>
  <c r="L85" i="10" s="1"/>
  <c r="G122" i="9"/>
  <c r="G123" i="9"/>
  <c r="G121" i="9"/>
  <c r="E44" i="10"/>
  <c r="B2" i="11"/>
  <c r="F66" i="10"/>
  <c r="F68" i="10"/>
  <c r="H35" i="6" l="1"/>
  <c r="H36" i="6" s="1"/>
  <c r="H34" i="6"/>
  <c r="I37" i="6"/>
  <c r="I38" i="6"/>
  <c r="I39" i="6" s="1"/>
  <c r="Q37" i="6"/>
  <c r="Q38" i="6"/>
  <c r="Q39" i="6" s="1"/>
  <c r="J35" i="6"/>
  <c r="J36" i="6" s="1"/>
  <c r="J34" i="6"/>
  <c r="M37" i="6"/>
  <c r="M38" i="6"/>
  <c r="M39" i="6" s="1"/>
  <c r="N37" i="6"/>
  <c r="N38" i="6"/>
  <c r="N39" i="6" s="1"/>
  <c r="O37" i="6"/>
  <c r="O38" i="6"/>
  <c r="O39" i="6" s="1"/>
  <c r="F69" i="10"/>
  <c r="H38" i="6" l="1"/>
  <c r="H39" i="6" s="1"/>
  <c r="H37" i="6"/>
  <c r="J37" i="6"/>
  <c r="J38" i="6"/>
  <c r="J39" i="6" s="1"/>
  <c r="S6" i="2" s="1" a="1"/>
  <c r="S20" i="2" s="1"/>
  <c r="B16" i="2" s="1"/>
  <c r="S22" i="2" l="1"/>
  <c r="B18" i="2" s="1"/>
  <c r="L18" i="2" s="1"/>
  <c r="S18" i="2"/>
  <c r="B14" i="2" s="1"/>
  <c r="S14" i="2"/>
  <c r="B10" i="2" s="1"/>
  <c r="S10" i="2"/>
  <c r="B6" i="2" s="1"/>
  <c r="S11" i="2"/>
  <c r="B7" i="2" s="1"/>
  <c r="L7" i="2" s="1"/>
  <c r="S7" i="2"/>
  <c r="B3" i="2" s="1"/>
  <c r="L3" i="2" s="1"/>
  <c r="S19" i="2"/>
  <c r="B15" i="2" s="1"/>
  <c r="L15" i="2" s="1"/>
  <c r="S15" i="2"/>
  <c r="B11" i="2" s="1"/>
  <c r="S6" i="2"/>
  <c r="B2" i="2" s="1"/>
  <c r="L2" i="2" s="1"/>
  <c r="S13" i="2"/>
  <c r="B9" i="2" s="1"/>
  <c r="L9" i="2" s="1"/>
  <c r="S9" i="2"/>
  <c r="B5" i="2" s="1"/>
  <c r="L5" i="2" s="1"/>
  <c r="S21" i="2"/>
  <c r="B17" i="2" s="1"/>
  <c r="S8" i="2"/>
  <c r="B4" i="2" s="1"/>
  <c r="L4" i="2" s="1"/>
  <c r="F123" i="9" s="1"/>
  <c r="T123" i="9" s="1"/>
  <c r="S17" i="2"/>
  <c r="B13" i="2" s="1"/>
  <c r="S16" i="2"/>
  <c r="B12" i="2" s="1"/>
  <c r="L12" i="2" s="1"/>
  <c r="S12" i="2"/>
  <c r="B8" i="2" s="1"/>
  <c r="L10" i="2"/>
  <c r="F120" i="9" s="1"/>
  <c r="H120" i="9" s="1"/>
  <c r="L14" i="2"/>
  <c r="L17" i="2"/>
  <c r="L6" i="2"/>
  <c r="F122" i="9" s="1"/>
  <c r="H122" i="9" s="1"/>
  <c r="L13" i="2"/>
  <c r="L8" i="2"/>
  <c r="L16" i="2"/>
  <c r="L11" i="2"/>
  <c r="F121" i="9" l="1"/>
  <c r="H121" i="9" s="1"/>
  <c r="H123" i="9"/>
  <c r="T120" i="9"/>
  <c r="T122" i="9"/>
  <c r="R120" i="9"/>
  <c r="H125" i="9" l="1"/>
  <c r="R121" i="9"/>
  <c r="R122" i="9" s="1"/>
  <c r="H124" i="9"/>
  <c r="T121" i="9"/>
  <c r="H126" i="9" l="1"/>
  <c r="H127" i="9" s="1"/>
  <c r="R123" i="9"/>
  <c r="R124" i="9" s="1"/>
  <c r="H129" i="9" l="1"/>
  <c r="C109" i="9"/>
  <c r="R125" i="9"/>
  <c r="C110" i="9" l="1"/>
  <c r="AB105" i="10"/>
  <c r="AB109" i="10" s="1"/>
  <c r="P105" i="10"/>
  <c r="P109" i="10" s="1"/>
  <c r="D105" i="10"/>
  <c r="D109" i="10" s="1"/>
  <c r="Y105" i="10"/>
  <c r="Y109" i="10" s="1"/>
  <c r="M105" i="10"/>
  <c r="M109" i="10" s="1"/>
  <c r="V105" i="10"/>
  <c r="V109" i="10" s="1"/>
  <c r="J105" i="10"/>
  <c r="J109" i="10" s="1"/>
  <c r="AE105" i="10"/>
  <c r="AE109" i="10" s="1"/>
  <c r="S105" i="10"/>
  <c r="S109" i="10" s="1"/>
  <c r="G105" i="10"/>
  <c r="G109" i="10" s="1"/>
  <c r="E11" i="10"/>
  <c r="R126" i="9"/>
  <c r="L81" i="10" s="1"/>
  <c r="B82" i="10" l="1"/>
  <c r="BC82" i="10" s="1"/>
  <c r="AY78" i="10"/>
  <c r="AT105" i="10"/>
  <c r="AT109" i="10" s="1"/>
  <c r="Z2" i="11" s="1"/>
  <c r="AQ105" i="10"/>
  <c r="AQ109" i="10" s="1"/>
  <c r="J2" i="11"/>
  <c r="I2" i="11"/>
  <c r="H2" i="11"/>
  <c r="AN105" i="10"/>
  <c r="AN109" i="10" s="1"/>
  <c r="W2" i="11" s="1"/>
  <c r="AK105" i="10"/>
  <c r="AK109" i="10" s="1"/>
  <c r="AH105" i="10"/>
  <c r="AH109" i="10" s="1"/>
  <c r="Q2" i="11"/>
  <c r="N2" i="11"/>
  <c r="B83" i="10"/>
  <c r="H82" i="10"/>
  <c r="H83" i="10"/>
  <c r="B80" i="10"/>
  <c r="BC80" i="10" s="1"/>
  <c r="AY82" i="10"/>
  <c r="L82" i="10"/>
  <c r="H81" i="10"/>
  <c r="AY83" i="10"/>
  <c r="L83" i="10"/>
  <c r="AY79" i="10"/>
  <c r="AY80" i="10"/>
  <c r="B77" i="10"/>
  <c r="BC77" i="10" s="1"/>
  <c r="L78" i="10"/>
  <c r="B79" i="10"/>
  <c r="BC79" i="10" s="1"/>
  <c r="L80" i="10"/>
  <c r="AY77" i="10"/>
  <c r="H78" i="10"/>
  <c r="H79" i="10"/>
  <c r="H77" i="10"/>
  <c r="H80" i="10"/>
  <c r="AY81" i="10"/>
  <c r="L77" i="10"/>
  <c r="B78" i="10"/>
  <c r="BC78" i="10" s="1"/>
  <c r="L79" i="10"/>
  <c r="B81" i="10"/>
  <c r="BC81" i="10" s="1"/>
  <c r="T2" i="11" l="1"/>
  <c r="L84" i="10"/>
  <c r="L86" i="10" s="1"/>
  <c r="J93" i="10" l="1"/>
</calcChain>
</file>

<file path=xl/sharedStrings.xml><?xml version="1.0" encoding="utf-8"?>
<sst xmlns="http://schemas.openxmlformats.org/spreadsheetml/2006/main" count="785" uniqueCount="359">
  <si>
    <t>D2</t>
  </si>
  <si>
    <t>C2</t>
  </si>
  <si>
    <t>C1</t>
  </si>
  <si>
    <t>B1</t>
  </si>
  <si>
    <t>A1</t>
  </si>
  <si>
    <t>A2</t>
  </si>
  <si>
    <t>B1 con i.f.</t>
  </si>
  <si>
    <t>C3/D1</t>
  </si>
  <si>
    <t>C3/D1 con i.p.</t>
  </si>
  <si>
    <t>D2 con i.p.</t>
  </si>
  <si>
    <t>D3/E1</t>
  </si>
  <si>
    <t>E2</t>
  </si>
  <si>
    <t>E2 con i.p.</t>
  </si>
  <si>
    <t>F1</t>
  </si>
  <si>
    <t>F1 con i.p.</t>
  </si>
  <si>
    <t>F2</t>
  </si>
  <si>
    <t>F2 con i.d.</t>
  </si>
  <si>
    <t>costo</t>
  </si>
  <si>
    <t>Parametri</t>
  </si>
  <si>
    <t>Totale</t>
  </si>
  <si>
    <t>di cui</t>
  </si>
  <si>
    <t>Costo orario</t>
  </si>
  <si>
    <t>Spese generali</t>
  </si>
  <si>
    <t>IVA</t>
  </si>
  <si>
    <t>Costo</t>
  </si>
  <si>
    <t>Note</t>
  </si>
  <si>
    <t>profilo Cooperative</t>
  </si>
  <si>
    <t>Profilo Enti Locali</t>
  </si>
  <si>
    <t>D6</t>
  </si>
  <si>
    <t>D5</t>
  </si>
  <si>
    <t>D4</t>
  </si>
  <si>
    <t>D3</t>
  </si>
  <si>
    <t>D1</t>
  </si>
  <si>
    <t>C5</t>
  </si>
  <si>
    <t>C4</t>
  </si>
  <si>
    <t>C3</t>
  </si>
  <si>
    <t>B7</t>
  </si>
  <si>
    <t>B6</t>
  </si>
  <si>
    <t>B5</t>
  </si>
  <si>
    <t>B4</t>
  </si>
  <si>
    <t>B3</t>
  </si>
  <si>
    <t>B2</t>
  </si>
  <si>
    <t>A5</t>
  </si>
  <si>
    <t>A4</t>
  </si>
  <si>
    <t>A3</t>
  </si>
  <si>
    <t>costo - straordinario</t>
  </si>
  <si>
    <t>CCNL Applicato</t>
  </si>
  <si>
    <t>CCNL Cooperative</t>
  </si>
  <si>
    <t>TipologiaAliquota IRAP</t>
  </si>
  <si>
    <t>Regione</t>
  </si>
  <si>
    <t>Sicilia</t>
  </si>
  <si>
    <t>Aliquota Irap Applicata</t>
  </si>
  <si>
    <t>Indennità di turno</t>
  </si>
  <si>
    <t>Si</t>
  </si>
  <si>
    <t>Livelli</t>
  </si>
  <si>
    <t>Minimi contr.li conglobati mensili</t>
  </si>
  <si>
    <t>Anzianità (tre scatti)</t>
  </si>
  <si>
    <t>Indennità professionali</t>
  </si>
  <si>
    <t>Indennità di funzione</t>
  </si>
  <si>
    <t>Altre indennità</t>
  </si>
  <si>
    <t>Lordo Mensile</t>
  </si>
  <si>
    <t>Totale Lordo annuo+ 13esima</t>
  </si>
  <si>
    <t>Oneri</t>
  </si>
  <si>
    <t>Inps (26,90%)</t>
  </si>
  <si>
    <t>Inail (3%)</t>
  </si>
  <si>
    <t>Totale oneri</t>
  </si>
  <si>
    <t>TFR</t>
  </si>
  <si>
    <t>Rivalutazione T.F.R. (3,302885% )</t>
  </si>
  <si>
    <t>Previdenza complementare (1%)</t>
  </si>
  <si>
    <t>Assistenza Sanitaria Integrativa</t>
  </si>
  <si>
    <t>Costo Annuo</t>
  </si>
  <si>
    <t>Totale costo annuo</t>
  </si>
  <si>
    <t>Irap</t>
  </si>
  <si>
    <t>Totale costo orario</t>
  </si>
  <si>
    <t>Specifica</t>
  </si>
  <si>
    <t>Calabria</t>
  </si>
  <si>
    <t>Campania</t>
  </si>
  <si>
    <t>Puglia</t>
  </si>
  <si>
    <t>No</t>
  </si>
  <si>
    <t>indennità di turno</t>
  </si>
  <si>
    <t>valore buoni pasto</t>
  </si>
  <si>
    <t>gg/mese buoni pasto</t>
  </si>
  <si>
    <t>CCNL Enti LOCALI</t>
  </si>
  <si>
    <t>COSTO ORARIO</t>
  </si>
  <si>
    <t>Retribuzione
 annua</t>
  </si>
  <si>
    <t>Retribuzione
 Mensile</t>
  </si>
  <si>
    <t>Rateo 13^</t>
  </si>
  <si>
    <t>Rateo Ferie</t>
  </si>
  <si>
    <t>Mensile</t>
  </si>
  <si>
    <t>Buoni pasto</t>
  </si>
  <si>
    <t>Mensile 
all-in</t>
  </si>
  <si>
    <t>Orario</t>
  </si>
  <si>
    <t>Straordinario 
Feriale</t>
  </si>
  <si>
    <t>Straordinario 
Festivo o Notturno</t>
  </si>
  <si>
    <t>Straordinario 
festivo e notturno</t>
  </si>
  <si>
    <t>d6</t>
  </si>
  <si>
    <t>d5</t>
  </si>
  <si>
    <t>d4</t>
  </si>
  <si>
    <t>d3</t>
  </si>
  <si>
    <t>d2</t>
  </si>
  <si>
    <t>d1</t>
  </si>
  <si>
    <t>c5</t>
  </si>
  <si>
    <t>c4</t>
  </si>
  <si>
    <t>c3</t>
  </si>
  <si>
    <t>c2</t>
  </si>
  <si>
    <t>c1</t>
  </si>
  <si>
    <t>b7</t>
  </si>
  <si>
    <t>b6</t>
  </si>
  <si>
    <t>b5</t>
  </si>
  <si>
    <t>b4</t>
  </si>
  <si>
    <t>b3</t>
  </si>
  <si>
    <t>b2</t>
  </si>
  <si>
    <t>b1</t>
  </si>
  <si>
    <t>a5</t>
  </si>
  <si>
    <t>a4</t>
  </si>
  <si>
    <t>a3</t>
  </si>
  <si>
    <t>a2</t>
  </si>
  <si>
    <t>a1</t>
  </si>
  <si>
    <t>costo ordinario</t>
  </si>
  <si>
    <t>Profilo professionale</t>
  </si>
  <si>
    <t>Regione di appartenenza</t>
  </si>
  <si>
    <t>imponibile irap</t>
  </si>
  <si>
    <t>imponibile irap orario</t>
  </si>
  <si>
    <t>Tipologia di Servizio</t>
  </si>
  <si>
    <t>Numero ore di servizio previste</t>
  </si>
  <si>
    <t>CCNL EE.LL. (straordinario feriale)</t>
  </si>
  <si>
    <t>CCNL EE.LL. (contratti a tempo determinato, co.co.co.)</t>
  </si>
  <si>
    <t>Dati</t>
  </si>
  <si>
    <t>OSS</t>
  </si>
  <si>
    <t>E' previsto coordinamento?</t>
  </si>
  <si>
    <t>Annotazioni</t>
  </si>
  <si>
    <t>Il soggetto che paga i servizi oggetto della scheda di intervento, incassa delle somme dagli utenti in ragione della componente sociale dei servizi domiciliari (anche se non in relazione al servizio finanziato con il Pac)?</t>
  </si>
  <si>
    <t>Sono previste spese generali</t>
  </si>
  <si>
    <t>Inserire la percentuale di spese generali che si intende applicare</t>
  </si>
  <si>
    <t>Numero ore annuali lavorate</t>
  </si>
  <si>
    <t>gestione diretta</t>
  </si>
  <si>
    <t>Aliquota IVA applicata</t>
  </si>
  <si>
    <t>PIANO DELLE SPESE CALCOLATO</t>
  </si>
  <si>
    <t>Eventuale Compartecipazione degli Utenti</t>
  </si>
  <si>
    <t>Coordinatore</t>
  </si>
  <si>
    <t>da considerare</t>
  </si>
  <si>
    <t>ore di servizio</t>
  </si>
  <si>
    <t>totale al netto compartecipazione</t>
  </si>
  <si>
    <t>1° semestre 2015</t>
  </si>
  <si>
    <t>2° semestre 2015</t>
  </si>
  <si>
    <t>1° semestre 2016</t>
  </si>
  <si>
    <t>2° semestre 2016</t>
  </si>
  <si>
    <t>DISTRIBUZIONE TEMPORALE DEL SERVIZIO PROGRAMMATA</t>
  </si>
  <si>
    <t>Scheda di intervento</t>
  </si>
  <si>
    <t>A. Dati Identificativi</t>
  </si>
  <si>
    <t>a.</t>
  </si>
  <si>
    <t>Titolo del Progetto</t>
  </si>
  <si>
    <t>b.</t>
  </si>
  <si>
    <t>Localizzazione</t>
  </si>
  <si>
    <t>c.</t>
  </si>
  <si>
    <t>Soggetto attuatore</t>
  </si>
  <si>
    <t>d</t>
  </si>
  <si>
    <t>R.U.P.</t>
  </si>
  <si>
    <t>e.</t>
  </si>
  <si>
    <t>N. telefono del RUP</t>
  </si>
  <si>
    <t>Mail del RUP</t>
  </si>
  <si>
    <t>f</t>
  </si>
  <si>
    <t>g</t>
  </si>
  <si>
    <t>Importo richiesto</t>
  </si>
  <si>
    <t xml:space="preserve"> Descrizione del servizio</t>
  </si>
  <si>
    <t xml:space="preserve">b. </t>
  </si>
  <si>
    <t>d.</t>
  </si>
  <si>
    <t>Esistenza di un sistema di accreditamento</t>
  </si>
  <si>
    <t>Estremi degli atti che regolano il sistema di accreditamento</t>
  </si>
  <si>
    <t>Descrizione dei requisiti previsti nel sistema di accreditamento</t>
  </si>
  <si>
    <t>f.</t>
  </si>
  <si>
    <t>Descrizione delle modalità di controllo dei soggetti accreditati</t>
  </si>
  <si>
    <t>g.</t>
  </si>
  <si>
    <t>h.</t>
  </si>
  <si>
    <t>Numero ore erogate</t>
  </si>
  <si>
    <t>Compartecipazione media degli utenti per ora di servizi di natura sociale</t>
  </si>
  <si>
    <t>i.</t>
  </si>
  <si>
    <t>l.</t>
  </si>
  <si>
    <t>C. Piano delle spese</t>
  </si>
  <si>
    <t>Quantità</t>
  </si>
  <si>
    <t>Personale OSS</t>
  </si>
  <si>
    <t>Di cui ore programmate per nuovi utenti</t>
  </si>
  <si>
    <t>Di cui ore programmate per incremento del servizio a favore di utenti già presi in carico</t>
  </si>
  <si>
    <t>Totale al loro compartecipazione</t>
  </si>
  <si>
    <t>Totale al netto compartecipazione</t>
  </si>
  <si>
    <t>nuovi utenti</t>
  </si>
  <si>
    <t>potenziamento</t>
  </si>
  <si>
    <t>ore nuovi utenti</t>
  </si>
  <si>
    <t>ore potenziamento</t>
  </si>
  <si>
    <t>Utenti nuovi</t>
  </si>
  <si>
    <t>Utenti per i quali si estende l'orario di servizio</t>
  </si>
  <si>
    <t>Ore medie mensili di servizio per utente che si intende erogare con il PAC 2° Riparto</t>
  </si>
  <si>
    <t>Di cui nuovi utenti - programmati</t>
  </si>
  <si>
    <t>Di cui utenti già in carico per i quali si prevede incremento di ore - programmati</t>
  </si>
  <si>
    <t xml:space="preserve">Utenti Programmati </t>
  </si>
  <si>
    <t>Mesi di Servizio (max 6 per semestre) - presa in carico nuovi utenti</t>
  </si>
  <si>
    <t>Mesi di Servizio (max 6 per semestre) - estensione servizio utenti già in carico</t>
  </si>
  <si>
    <t>Tipologia</t>
  </si>
  <si>
    <t>Modalità di presa in carico degli utenti</t>
  </si>
  <si>
    <t>m.</t>
  </si>
  <si>
    <t>D. Iter procedurale e tempistica</t>
  </si>
  <si>
    <t>a.  Pubblicazione del bando di gara o equivalente (se pertinente)</t>
  </si>
  <si>
    <t>b. Stipulazione del contratto di affidamento o equivalente (se pertinente)</t>
  </si>
  <si>
    <t>c. Avvio servizio</t>
  </si>
  <si>
    <t>Data (mese e anno)</t>
  </si>
  <si>
    <t>B. Dettaglio dell'intervento e risultati attesi</t>
  </si>
  <si>
    <t>E. Cronoprogramma di spesa</t>
  </si>
  <si>
    <t>1° sem 2015</t>
  </si>
  <si>
    <t>2° sem 2015</t>
  </si>
  <si>
    <t>1° sem 2016</t>
  </si>
  <si>
    <t>2° sem 2016</t>
  </si>
  <si>
    <t>Certificazione del Medico di Medicina Generale</t>
  </si>
  <si>
    <t>Descrizione</t>
  </si>
  <si>
    <t>tipo scheda</t>
  </si>
  <si>
    <t>Mesi complessivi</t>
  </si>
  <si>
    <t>totale al lordo compartecipazione</t>
  </si>
  <si>
    <t>Utenti 2014 (non PAC e Primo Riparto PAC)</t>
  </si>
  <si>
    <t>ore2016</t>
  </si>
  <si>
    <t>ore2015</t>
  </si>
  <si>
    <t>ore2017</t>
  </si>
  <si>
    <t>utenti2015</t>
  </si>
  <si>
    <t>utenti2016</t>
  </si>
  <si>
    <t>utenti2017</t>
  </si>
  <si>
    <t>pac2015</t>
  </si>
  <si>
    <t>pac2016</t>
  </si>
  <si>
    <t>F. Cronoprogramma di avanzamento del finanziamento</t>
  </si>
  <si>
    <t>Inserire l'incidenza del coordinamento (ore coordinamento/ore tot. Servizio)</t>
  </si>
  <si>
    <t>ore del/dei coordinatore/i</t>
  </si>
  <si>
    <t>titolo</t>
  </si>
  <si>
    <t>ITER PROCEDURALE</t>
  </si>
  <si>
    <t xml:space="preserve"> Pubblicazione del bando di gara o equivalente (se pertinente)</t>
  </si>
  <si>
    <t>Stipulazione del contratto di affidamento o equivalente (se pertinente)</t>
  </si>
  <si>
    <t>Avvio servizio</t>
  </si>
  <si>
    <t>d. Data prevista conclusione servizio</t>
  </si>
  <si>
    <t>Data prevista conclusione servizio</t>
  </si>
  <si>
    <t xml:space="preserve"> Tipologie di spesa</t>
  </si>
  <si>
    <t>percentuale di abbattimento dei costi orari applicata</t>
  </si>
  <si>
    <t>percentuale</t>
  </si>
  <si>
    <t>ore</t>
  </si>
  <si>
    <t>Descrizione della modalità di presa in carico degli utenti</t>
  </si>
  <si>
    <t>Valore del buono servizio orario (al lordo compartecipazione)</t>
  </si>
  <si>
    <t>Costo orario del servizio (al lordo compartecipazione)</t>
  </si>
  <si>
    <t>Descrizione, con valore di attestazione, del modo in cui siano soddisfatti i livelli di prestazioni socio-assistenziali complementari all’ ADI rispondenti al fabbisogno del territorio</t>
  </si>
  <si>
    <t>Descrizione del servizio</t>
  </si>
  <si>
    <t>ADI/CDI</t>
  </si>
  <si>
    <t>SAD/ADS/ADA</t>
  </si>
  <si>
    <t>Modalità di acquisizione dei servizi</t>
  </si>
  <si>
    <t>CCNL applicato al costo del personale</t>
  </si>
  <si>
    <t>Settimane di servizio previste</t>
  </si>
  <si>
    <t>Estremi degli atti che hanno quantificato il valore degli eventuali buoni servizio</t>
  </si>
  <si>
    <t>DATI GENERALI</t>
  </si>
  <si>
    <t>INFORMAZIONI RELATIVE AI COSTI</t>
  </si>
  <si>
    <t>Numero utenti 2014 (non PAC e Primo Riparto PAC)</t>
  </si>
  <si>
    <t>Utenti che si prevede di sostenere con il PAC 2° riparto</t>
  </si>
  <si>
    <t>DISTRIBUZIONE PERCENTUALE DELLE ORE DI SERVIZIO TRA LE DIVERSE TIPOLOGIE DI QUALIFICHE PROFESSIONALI</t>
  </si>
  <si>
    <r>
      <t>Numero di utenti/anno equivalenti</t>
    </r>
    <r>
      <rPr>
        <b/>
        <sz val="11"/>
        <color indexed="8"/>
        <rFont val="Calibri"/>
        <family val="2"/>
      </rPr>
      <t xml:space="preserve"> (*)</t>
    </r>
  </si>
  <si>
    <t>(*)</t>
  </si>
  <si>
    <t>(**)</t>
  </si>
  <si>
    <r>
      <t xml:space="preserve">Ore medie per utente/equivalente anno </t>
    </r>
    <r>
      <rPr>
        <b/>
        <sz val="11"/>
        <color indexed="8"/>
        <rFont val="Calibri"/>
        <family val="2"/>
      </rPr>
      <t>(**)</t>
    </r>
  </si>
  <si>
    <t>Le "ore medie per utente/equivalente anno" sono calcolate tenendo conto dell' "utente-tipo" derivabile dalle informazioni poste alla base della programmazione della scheda di intervento. Esso corrisponde al numero di ore che, sulla base dei servizi erogati in precedenza e/o dell'analisi del fabbisogno, si erogherebbero ad un utente preso in carico per 12 mesi in un anno. Il dato viene calcolato principalmente ai fini della confrontabilità dei piani di intervento.</t>
  </si>
  <si>
    <t>2 - Assistenza Domiciliare non integrata (SAD/ADS/ADA)</t>
  </si>
  <si>
    <t>Eventuali economie in termini percentuali sul costo del personale riscontrate 
- sulla scorta dei dati storici (nel caso di erogazione attraverso buoni servizio)
- per effetto dell'aggiudicazione (nel caso di gara già bandita ed aggiudicata)</t>
  </si>
  <si>
    <t>buoni servizio (attraverso sistema di accreditamento)</t>
  </si>
  <si>
    <t>n.</t>
  </si>
  <si>
    <t>o.</t>
  </si>
  <si>
    <t>Estremi degli atti che hanno regolato l'eventuale catalogo dell'offerta/albo dei fornitori</t>
  </si>
  <si>
    <t>Descrizione del funzionamento e della composizione dell'eventuale catalogo dell'offerta/albo dei fornitori (da allegare)</t>
  </si>
  <si>
    <t>OSA/OTA o figure assimilate (dotate di titolo professionale specifico)</t>
  </si>
  <si>
    <t>Assistente Domiciliare, assistente familiare o figure assimilate</t>
  </si>
  <si>
    <t>Ore di servizio programmate</t>
  </si>
  <si>
    <t>Mesi di servizio previsti</t>
  </si>
  <si>
    <t>Motivazione dell'applicazione dell'abbattimento indicato al precedente punto b.</t>
  </si>
  <si>
    <t>1 - Assistenza Domiciliare Integrata con l'assistenza sanitaria (ADI/CDI)</t>
  </si>
  <si>
    <t>Unità Valutazione Multidimensionale Integrata (UVI/UVM)</t>
  </si>
  <si>
    <t>DESCRIZIONE Dell'intervento DA FINANZIARE</t>
  </si>
  <si>
    <t>Ore medie mensili di servizio per utenti 2014 (non PAC e Primo Riparto PAC)</t>
  </si>
  <si>
    <t>Fornire l'attestazione che, con i servizi finanziati con risorse Proprie e/o con gli ulteriori servizi programmati a valere sul PAC sono soddisfatti i livelli di prestazioni socio-assistenziali complementari all'ADI rispondenti al fabbisogno del territorio</t>
  </si>
  <si>
    <t>Personale OSA/OTA o figure assimilate (dotate di titolo professionale specifico)</t>
  </si>
  <si>
    <t>Il "numero utenti/anno equivalenti" viene calcolato tenendo conto dell' "utente-tipo" derivabile dalle informazioni poste alla base della programmazione della scheda di intervento.. Detto altrimenti, se si ipotizza, sulla base dei servizi erogati in precedenza e/o dell'analisi del fabbisogno, che mediamente un utente, per tutto il tempo in cui rimane in carico del sistema di erogazione dei servizi domiciliari, goda di un servizio medio quantificato in 40 ore al mese, un utente/anno equivalente corrisponderà a 480 ore di servizio annue (**). Di contro, nel caso in cui si programmi di erogare a un servizio di 40 ore/mese a 4 utenti per tre mesi, gli stessi corrisponderanno ad 1 utente/anno equivalente. Il dato viene calcolato principalmente ai fini della confrontabilità dei piani di intervento.</t>
  </si>
  <si>
    <t>1° semestre 2017</t>
  </si>
  <si>
    <t>2° semestre 2017</t>
  </si>
  <si>
    <t>1° semestre 2018</t>
  </si>
  <si>
    <t>1° sem 2018</t>
  </si>
  <si>
    <t>2° sem 2017</t>
  </si>
  <si>
    <t>1° sem 2017</t>
  </si>
  <si>
    <t>ore2018</t>
  </si>
  <si>
    <t>utenti2018</t>
  </si>
  <si>
    <t>pac2017</t>
  </si>
  <si>
    <t>pac2018</t>
  </si>
  <si>
    <t>appalto di servizio ex D.lgs 50/2016 e ss.mm.ii. da bandire</t>
  </si>
  <si>
    <t>appalto di servizio già aggiudicato</t>
  </si>
  <si>
    <t>2° semestre 2018</t>
  </si>
  <si>
    <t>1° semestre 2019</t>
  </si>
  <si>
    <t>ore2019</t>
  </si>
  <si>
    <t>utenti2019</t>
  </si>
  <si>
    <t>pac2019</t>
  </si>
  <si>
    <t>2° sem 2018</t>
  </si>
  <si>
    <t>1° sem 2019</t>
  </si>
  <si>
    <t>2° semestre 2019</t>
  </si>
  <si>
    <t>1° semestre 2020</t>
  </si>
  <si>
    <t>2° sem 2019</t>
  </si>
  <si>
    <t>1° sem 2020</t>
  </si>
  <si>
    <t>ore2020</t>
  </si>
  <si>
    <t>utenti2020</t>
  </si>
  <si>
    <t>pac2020</t>
  </si>
  <si>
    <t>2° semestre 2020</t>
  </si>
  <si>
    <t>2° sem 2020</t>
  </si>
  <si>
    <t>CCNL vigente</t>
  </si>
  <si>
    <t>da aprile 2018</t>
  </si>
  <si>
    <t>alla data di programmazione iniziale</t>
  </si>
  <si>
    <t>da novembre 2019</t>
  </si>
  <si>
    <t>da aprile 2020</t>
  </si>
  <si>
    <t>da settembre 2020</t>
  </si>
  <si>
    <t>COSTO ORARIO (*)</t>
  </si>
  <si>
    <t xml:space="preserve">Orario </t>
  </si>
  <si>
    <t>da nuovo ccnl</t>
  </si>
  <si>
    <t>D7</t>
  </si>
  <si>
    <t>C6</t>
  </si>
  <si>
    <t>B8</t>
  </si>
  <si>
    <t>A6</t>
  </si>
  <si>
    <t>(*) da art. 10 del ccnl 9/5/2006, un mese è fatto da 156 ore</t>
  </si>
  <si>
    <t>Oneri riflessi</t>
  </si>
  <si>
    <t>CPDEL</t>
  </si>
  <si>
    <t>Inail</t>
  </si>
  <si>
    <t>Inadel (3,60% su 80% retribuzione) -TFS</t>
  </si>
  <si>
    <t>Inps (27,33%)</t>
  </si>
  <si>
    <t>Oneri per la sciurezza</t>
  </si>
  <si>
    <t>Rivalutazione T.F.R. (2,2418% ) * stimata su 6 anni</t>
  </si>
  <si>
    <t>Previdenza complementare (1,5%)</t>
  </si>
  <si>
    <t>Irap forfettaria al 3,9%</t>
  </si>
  <si>
    <t>Rivalutazione T.F.R. (1,8673% ) * stimata su 6 anni</t>
  </si>
  <si>
    <t>CCNL di riferimento</t>
  </si>
  <si>
    <t>EELL</t>
  </si>
  <si>
    <t>Coperative</t>
  </si>
  <si>
    <t>ordinario</t>
  </si>
  <si>
    <t>straordinario</t>
  </si>
  <si>
    <t>1° semestre 2021</t>
  </si>
  <si>
    <t>Inserire eventuale percentuale aggiuntiva di spese generali che si intende applicare dal 1° semestre 2020 in realzione alle misure COVID-19 (max. 2% aggiuntivo)</t>
  </si>
  <si>
    <t>Costo orario del servizio (al lordo compartecipazione) - con incremento spese generali ex COVID-19</t>
  </si>
  <si>
    <t>Spese generali aggiuntive (ex COVID-19)</t>
  </si>
  <si>
    <t>1° sem 2021</t>
  </si>
  <si>
    <t>ore2021</t>
  </si>
  <si>
    <t>utenti2021</t>
  </si>
  <si>
    <t>pac2021</t>
  </si>
  <si>
    <t>2° semestre 2021</t>
  </si>
  <si>
    <t>1° semestre 2022</t>
  </si>
  <si>
    <t>2° sem 2021</t>
  </si>
  <si>
    <t>1° sem 2022</t>
  </si>
  <si>
    <t>ore2022</t>
  </si>
  <si>
    <t>utenti2022</t>
  </si>
  <si>
    <t>pac2022</t>
  </si>
  <si>
    <t>Assistenza domiciliare integrata con i servizi sanitari nel distretto socio sanitario 27.</t>
  </si>
  <si>
    <t>Comuni del Distretto socio sanitario 27</t>
  </si>
  <si>
    <t>Comune di Milazzo</t>
  </si>
  <si>
    <t>Bueti domenica</t>
  </si>
  <si>
    <t>\0909231259</t>
  </si>
  <si>
    <t>protocollogenerale@pec.comune.milazzo.me.it</t>
  </si>
  <si>
    <t xml:space="preserve">Il servizio di Assistenza Domiciliare socio-assistenziale integrata con i servizi sanitari nel Distretto Socio Sanitario (A.D.I.) è destinato a persone over 65 non autosufficienti impossibilitate, per gravi motivi di salute, ad uscire di casa che necessitano di assistenza di natura complessa sanitaria e socio-assistenziale integrata.
Le prestazioni di assistenza domiciliare socio-assistenziale integrata sono rivolte agli anziani residenti nei Comuni del Distretto socio sanitario n.27, le quali saranno attivate attraverso un percorso unitario di presa in carico, valutazione multidimensionale del bisogno e definizione di un piano personalizzato d’assistenza (PAI).
Il servizio verrà appaltato mediante procedura aperta con il sistema dell'offerta economicamente più vantaggiosa   ai sensi del  D. Lgs. 50/2016 e s.m.i. ad una impresa sociale regolarmente iscritta alla sezione anziani e/o inabili, tipologia assistenza domiciliare, ci cui all'Albo Regionale ex art. 26 della L.R. 22/86 che dovrà fornire il personale qualificato in relazione alla mansioni da svolgere.       </t>
  </si>
  <si>
    <t>La presa in carico degli utenti avverrà attraverso la segnalazione del Distretto Sanitario che  invierà la richiesta di valutazione all'UVM integrata  dall'assistente sociale del distretto 27 per la redazione della SVAMA e successiva elaborazione del PAI , secondo quanto espressamente indicato nel Regolamento di gestione . Il regolamento ADI  approvato per il primo atto di  riparto e ancora vigente non prevede la compartecipazione al costo del servizio da parte dell'utenza.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</si>
</sst>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3" formatCode="_-* #,##0.00_-;\-* #,##0.00_-;_-* &quot;-&quot;??_-;_-@_-"/>
    <numFmt numFmtId="164" formatCode="&quot;€&quot;\ #,##0.00;[Red]\-&quot;€&quot;\ #,##0.00"/>
    <numFmt numFmtId="165" formatCode="#,##0.0000"/>
    <numFmt numFmtId="166" formatCode="0.00\ &quot;ore/sett/utente&quot;"/>
    <numFmt numFmtId="167" formatCode="0.00\ &quot; utenti&quot;"/>
    <numFmt numFmtId="168" formatCode="0\ &quot;ore di servizio&quot;"/>
    <numFmt numFmtId="169" formatCode="0\ &quot;mesi di servizio&quot;"/>
    <numFmt numFmtId="170" formatCode="0.00\ &quot;mesi di servizio&quot;"/>
    <numFmt numFmtId="171" formatCode="0.00\ &quot;settimane&quot;"/>
    <numFmt numFmtId="172" formatCode="0.00\ &quot;ore/mese/utente&quot;"/>
    <numFmt numFmtId="173" formatCode="mmm\-yyyy"/>
    <numFmt numFmtId="174" formatCode="General;General;&quot;&quot;"/>
    <numFmt numFmtId="175" formatCode="0.00\ &quot;ore di cordinamento&quot;"/>
    <numFmt numFmtId="176" formatCode="#,##0.00000"/>
  </numFmts>
  <fonts count="23" x14ac:knownFonts="1">
    <font>
      <sz val="11"/>
      <color theme="1"/>
      <name val="Calibri"/>
      <family val="2"/>
      <scheme val="minor"/>
    </font>
    <font>
      <sz val="11"/>
      <color indexed="8"/>
      <name val="Calibri"/>
      <family val="2"/>
    </font>
    <font>
      <sz val="8"/>
      <name val="Calibri"/>
      <family val="2"/>
    </font>
    <font>
      <sz val="10"/>
      <color indexed="8"/>
      <name val="Arial"/>
      <family val="2"/>
    </font>
    <font>
      <sz val="11"/>
      <color indexed="8"/>
      <name val="Calibri"/>
      <family val="2"/>
    </font>
    <font>
      <sz val="11"/>
      <color indexed="10"/>
      <name val="Calibri"/>
      <family val="2"/>
    </font>
    <font>
      <b/>
      <sz val="11"/>
      <color indexed="8"/>
      <name val="Calibri"/>
      <family val="2"/>
    </font>
    <font>
      <sz val="11"/>
      <color indexed="8"/>
      <name val="Calibri"/>
      <family val="2"/>
    </font>
    <font>
      <b/>
      <sz val="11"/>
      <color indexed="8"/>
      <name val="Calibri"/>
      <family val="2"/>
    </font>
    <font>
      <i/>
      <sz val="11"/>
      <color indexed="8"/>
      <name val="Calibri"/>
      <family val="2"/>
    </font>
    <font>
      <sz val="11"/>
      <name val="Calibri"/>
      <family val="2"/>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11"/>
      <color theme="1"/>
      <name val="Calibri"/>
      <family val="2"/>
    </font>
    <font>
      <b/>
      <sz val="11"/>
      <color theme="1"/>
      <name val="Calibri"/>
      <family val="2"/>
    </font>
    <font>
      <i/>
      <sz val="11"/>
      <color theme="1"/>
      <name val="Calibri"/>
      <family val="2"/>
    </font>
    <font>
      <sz val="9"/>
      <color indexed="0"/>
      <name val="Times New Roman"/>
      <family val="1"/>
    </font>
    <font>
      <sz val="9"/>
      <color indexed="0"/>
      <name val="Arial"/>
      <family val="2"/>
    </font>
    <font>
      <sz val="10"/>
      <name val="Arial"/>
      <family val="2"/>
    </font>
    <font>
      <sz val="8"/>
      <color indexed="0"/>
      <name val="Times New Roman"/>
      <family val="1"/>
    </font>
  </fonts>
  <fills count="20">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40"/>
        <bgColor indexed="64"/>
      </patternFill>
    </fill>
    <fill>
      <patternFill patternType="solid">
        <fgColor indexed="55"/>
        <bgColor indexed="64"/>
      </patternFill>
    </fill>
    <fill>
      <patternFill patternType="solid">
        <fgColor indexed="9"/>
        <bgColor indexed="64"/>
      </patternFill>
    </fill>
    <fill>
      <patternFill patternType="solid">
        <fgColor indexed="51"/>
        <bgColor indexed="64"/>
      </patternFill>
    </fill>
    <fill>
      <patternFill patternType="solid">
        <fgColor theme="0" tint="-0.34998626667073579"/>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59999389629810485"/>
        <bgColor indexed="64"/>
      </patternFill>
    </fill>
  </fills>
  <borders count="36">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0" fontId="3" fillId="0" borderId="0" applyNumberFormat="0" applyFont="0" applyFill="0" applyBorder="0" applyAlignment="0" applyProtection="0"/>
    <xf numFmtId="9" fontId="4" fillId="0" borderId="0" applyFont="0" applyFill="0" applyBorder="0" applyAlignment="0" applyProtection="0"/>
    <xf numFmtId="0" fontId="3" fillId="0" borderId="0" applyNumberFormat="0" applyFont="0" applyFill="0" applyBorder="0" applyAlignment="0" applyProtection="0"/>
    <xf numFmtId="9" fontId="1" fillId="0" borderId="0" applyFont="0" applyFill="0" applyBorder="0" applyAlignment="0" applyProtection="0"/>
    <xf numFmtId="0" fontId="21" fillId="0" borderId="0"/>
  </cellStyleXfs>
  <cellXfs count="360">
    <xf numFmtId="0" fontId="0" fillId="0" borderId="0" xfId="0"/>
    <xf numFmtId="4" fontId="0" fillId="0" borderId="0" xfId="0" applyNumberFormat="1"/>
    <xf numFmtId="4" fontId="0" fillId="2" borderId="0" xfId="0" applyNumberFormat="1" applyFill="1"/>
    <xf numFmtId="10" fontId="0" fillId="0" borderId="0" xfId="0" applyNumberFormat="1"/>
    <xf numFmtId="10" fontId="0" fillId="2" borderId="0" xfId="0" applyNumberFormat="1" applyFill="1"/>
    <xf numFmtId="0" fontId="0" fillId="0" borderId="1" xfId="0" applyBorder="1" applyAlignment="1">
      <alignment horizontal="center"/>
    </xf>
    <xf numFmtId="4" fontId="0" fillId="0" borderId="2" xfId="0" applyNumberFormat="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 xfId="0" applyBorder="1"/>
    <xf numFmtId="4" fontId="0" fillId="0" borderId="5" xfId="0" applyNumberFormat="1" applyBorder="1"/>
    <xf numFmtId="4" fontId="0" fillId="0" borderId="3" xfId="0" applyNumberFormat="1" applyBorder="1"/>
    <xf numFmtId="4" fontId="0" fillId="0" borderId="4" xfId="0" applyNumberFormat="1" applyBorder="1"/>
    <xf numFmtId="4" fontId="0" fillId="0" borderId="5" xfId="0" applyNumberFormat="1" applyBorder="1" applyAlignment="1"/>
    <xf numFmtId="0" fontId="0" fillId="0" borderId="3" xfId="0" applyNumberFormat="1" applyBorder="1"/>
    <xf numFmtId="0" fontId="0" fillId="0" borderId="5" xfId="0" applyNumberFormat="1" applyBorder="1"/>
    <xf numFmtId="0" fontId="0" fillId="0" borderId="4" xfId="0" applyNumberFormat="1" applyBorder="1"/>
    <xf numFmtId="4" fontId="0" fillId="0" borderId="6" xfId="0" applyNumberFormat="1" applyBorder="1" applyAlignment="1"/>
    <xf numFmtId="0" fontId="0" fillId="0" borderId="0" xfId="0" applyAlignment="1"/>
    <xf numFmtId="0" fontId="0" fillId="0" borderId="6" xfId="0" applyBorder="1"/>
    <xf numFmtId="4" fontId="0" fillId="0" borderId="6" xfId="0" applyNumberFormat="1" applyBorder="1"/>
    <xf numFmtId="0" fontId="0" fillId="0" borderId="3" xfId="0" applyBorder="1"/>
    <xf numFmtId="0" fontId="0" fillId="0" borderId="5" xfId="0" applyBorder="1"/>
    <xf numFmtId="0" fontId="0" fillId="0" borderId="4" xfId="0" applyBorder="1"/>
    <xf numFmtId="4" fontId="0" fillId="0" borderId="3" xfId="0" applyNumberFormat="1" applyBorder="1" applyAlignment="1"/>
    <xf numFmtId="4" fontId="0" fillId="0" borderId="4" xfId="0" applyNumberFormat="1" applyBorder="1" applyAlignment="1"/>
    <xf numFmtId="0" fontId="0" fillId="0" borderId="5" xfId="0" applyBorder="1" applyAlignment="1"/>
    <xf numFmtId="0" fontId="0" fillId="0" borderId="3" xfId="0" applyBorder="1" applyAlignment="1"/>
    <xf numFmtId="0" fontId="0" fillId="0" borderId="4" xfId="0" applyBorder="1" applyAlignment="1"/>
    <xf numFmtId="0" fontId="6" fillId="0" borderId="1" xfId="0" applyFont="1" applyBorder="1"/>
    <xf numFmtId="4" fontId="6" fillId="3" borderId="7" xfId="3" applyNumberFormat="1" applyFont="1" applyFill="1" applyBorder="1"/>
    <xf numFmtId="4" fontId="6" fillId="0" borderId="7" xfId="3" applyNumberFormat="1" applyFont="1" applyBorder="1"/>
    <xf numFmtId="165" fontId="0" fillId="0" borderId="0" xfId="0" applyNumberFormat="1"/>
    <xf numFmtId="0" fontId="6" fillId="0" borderId="0" xfId="0" applyFont="1"/>
    <xf numFmtId="0" fontId="0" fillId="0" borderId="2"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 xfId="0" applyFont="1" applyBorder="1"/>
    <xf numFmtId="4" fontId="7" fillId="0" borderId="7" xfId="4" applyNumberFormat="1" applyFont="1" applyBorder="1" applyAlignment="1">
      <alignment horizontal="left" vertical="top"/>
    </xf>
    <xf numFmtId="4" fontId="0" fillId="0" borderId="7" xfId="0" applyNumberFormat="1" applyFont="1" applyBorder="1"/>
    <xf numFmtId="4" fontId="0" fillId="0" borderId="1" xfId="0" applyNumberFormat="1" applyFont="1" applyBorder="1"/>
    <xf numFmtId="4" fontId="0" fillId="0" borderId="16" xfId="0" applyNumberFormat="1" applyFont="1" applyBorder="1"/>
    <xf numFmtId="4" fontId="0" fillId="0" borderId="5" xfId="0" applyNumberFormat="1" applyFont="1" applyBorder="1"/>
    <xf numFmtId="4" fontId="0" fillId="0" borderId="4" xfId="0" applyNumberFormat="1" applyFont="1" applyBorder="1"/>
    <xf numFmtId="0" fontId="0" fillId="0" borderId="17" xfId="0" applyFont="1" applyBorder="1"/>
    <xf numFmtId="4" fontId="7" fillId="0" borderId="18" xfId="4" applyNumberFormat="1" applyFont="1" applyBorder="1" applyAlignment="1">
      <alignment horizontal="left" vertical="top"/>
    </xf>
    <xf numFmtId="4" fontId="0" fillId="0" borderId="18" xfId="0" applyNumberFormat="1" applyFont="1" applyBorder="1"/>
    <xf numFmtId="4" fontId="0" fillId="0" borderId="19" xfId="0" applyNumberFormat="1" applyFont="1" applyBorder="1"/>
    <xf numFmtId="4" fontId="0" fillId="0" borderId="20" xfId="0" applyNumberFormat="1" applyFont="1" applyBorder="1"/>
    <xf numFmtId="4" fontId="0" fillId="0" borderId="17" xfId="0" applyNumberFormat="1" applyFont="1" applyBorder="1"/>
    <xf numFmtId="4" fontId="0" fillId="0" borderId="21" xfId="0" applyNumberFormat="1" applyFont="1" applyBorder="1"/>
    <xf numFmtId="0" fontId="6" fillId="0" borderId="22" xfId="0" applyFont="1" applyBorder="1"/>
    <xf numFmtId="4" fontId="8" fillId="0" borderId="23" xfId="4" applyNumberFormat="1" applyFont="1" applyBorder="1" applyAlignment="1">
      <alignment horizontal="left" vertical="top"/>
    </xf>
    <xf numFmtId="4" fontId="6" fillId="0" borderId="23" xfId="0" applyNumberFormat="1" applyFont="1" applyBorder="1"/>
    <xf numFmtId="4" fontId="6" fillId="0" borderId="24" xfId="0" applyNumberFormat="1" applyFont="1" applyBorder="1"/>
    <xf numFmtId="4" fontId="6" fillId="0" borderId="25" xfId="0" applyNumberFormat="1" applyFont="1" applyBorder="1"/>
    <xf numFmtId="4" fontId="6" fillId="0" borderId="22" xfId="0" applyNumberFormat="1" applyFont="1" applyBorder="1"/>
    <xf numFmtId="4" fontId="6" fillId="0" borderId="26" xfId="0" applyNumberFormat="1" applyFont="1" applyBorder="1"/>
    <xf numFmtId="0" fontId="0" fillId="0" borderId="6" xfId="0" applyFont="1" applyBorder="1"/>
    <xf numFmtId="4" fontId="7" fillId="0" borderId="27" xfId="4" applyNumberFormat="1" applyFont="1" applyBorder="1" applyAlignment="1">
      <alignment horizontal="left" vertical="top"/>
    </xf>
    <xf numFmtId="4" fontId="0" fillId="0" borderId="27" xfId="0" applyNumberFormat="1" applyFont="1" applyBorder="1"/>
    <xf numFmtId="4" fontId="0" fillId="0" borderId="28" xfId="0" applyNumberFormat="1" applyFont="1" applyBorder="1"/>
    <xf numFmtId="4" fontId="0" fillId="0" borderId="29" xfId="0" applyNumberFormat="1" applyFont="1" applyBorder="1"/>
    <xf numFmtId="4" fontId="0" fillId="0" borderId="6" xfId="0" applyNumberFormat="1" applyFont="1" applyBorder="1"/>
    <xf numFmtId="4" fontId="0" fillId="0" borderId="30" xfId="0" applyNumberFormat="1" applyFont="1" applyBorder="1"/>
    <xf numFmtId="0" fontId="0" fillId="0" borderId="12" xfId="0" applyFont="1" applyBorder="1"/>
    <xf numFmtId="4" fontId="7" fillId="0" borderId="14" xfId="4" applyNumberFormat="1" applyFont="1" applyBorder="1" applyAlignment="1">
      <alignment horizontal="left" vertical="top"/>
    </xf>
    <xf numFmtId="4" fontId="0" fillId="0" borderId="14" xfId="0" applyNumberFormat="1" applyFont="1" applyBorder="1"/>
    <xf numFmtId="4" fontId="0" fillId="0" borderId="31" xfId="0" applyNumberFormat="1" applyFont="1" applyBorder="1"/>
    <xf numFmtId="4" fontId="0" fillId="0" borderId="15" xfId="0" applyNumberFormat="1" applyFont="1" applyBorder="1"/>
    <xf numFmtId="4" fontId="0" fillId="0" borderId="12" xfId="0" applyNumberFormat="1" applyFont="1" applyBorder="1"/>
    <xf numFmtId="4" fontId="0" fillId="0" borderId="13" xfId="0" applyNumberFormat="1" applyFont="1" applyBorder="1"/>
    <xf numFmtId="0" fontId="0" fillId="0" borderId="32" xfId="0" applyFont="1" applyBorder="1"/>
    <xf numFmtId="4" fontId="7" fillId="0" borderId="4" xfId="4" applyNumberFormat="1" applyFont="1" applyBorder="1" applyAlignment="1">
      <alignment horizontal="left" vertical="top"/>
    </xf>
    <xf numFmtId="4" fontId="7" fillId="0" borderId="21" xfId="4" applyNumberFormat="1" applyFont="1" applyBorder="1" applyAlignment="1">
      <alignment horizontal="left" vertical="top"/>
    </xf>
    <xf numFmtId="4" fontId="8" fillId="0" borderId="26" xfId="4" applyNumberFormat="1" applyFont="1" applyBorder="1" applyAlignment="1">
      <alignment horizontal="left" vertical="top"/>
    </xf>
    <xf numFmtId="4" fontId="7" fillId="0" borderId="30" xfId="4" applyNumberFormat="1" applyFont="1" applyBorder="1" applyAlignment="1">
      <alignment horizontal="left" vertical="top"/>
    </xf>
    <xf numFmtId="4" fontId="7" fillId="0" borderId="13" xfId="4" applyNumberFormat="1" applyFont="1" applyBorder="1" applyAlignment="1">
      <alignment horizontal="left" vertical="top"/>
    </xf>
    <xf numFmtId="164" fontId="0" fillId="4" borderId="0" xfId="0" applyNumberFormat="1" applyFont="1" applyFill="1"/>
    <xf numFmtId="0" fontId="0" fillId="4" borderId="0" xfId="0" applyFont="1" applyFill="1"/>
    <xf numFmtId="0" fontId="0" fillId="5" borderId="0" xfId="0" applyFill="1"/>
    <xf numFmtId="10" fontId="0" fillId="5" borderId="0" xfId="0" applyNumberFormat="1" applyFill="1"/>
    <xf numFmtId="4" fontId="0" fillId="5" borderId="0" xfId="0" applyNumberFormat="1" applyFill="1"/>
    <xf numFmtId="9" fontId="0" fillId="5" borderId="0" xfId="0" applyNumberFormat="1" applyFill="1"/>
    <xf numFmtId="4" fontId="0" fillId="5" borderId="5" xfId="0" applyNumberFormat="1" applyFill="1" applyBorder="1"/>
    <xf numFmtId="4" fontId="0" fillId="5" borderId="3" xfId="0" applyNumberFormat="1" applyFill="1" applyBorder="1"/>
    <xf numFmtId="4" fontId="0" fillId="5" borderId="4" xfId="0" applyNumberFormat="1" applyFill="1" applyBorder="1"/>
    <xf numFmtId="0" fontId="0" fillId="0" borderId="0" xfId="0" applyAlignment="1">
      <alignment vertical="top"/>
    </xf>
    <xf numFmtId="0" fontId="0" fillId="5" borderId="0" xfId="0" applyFill="1" applyAlignment="1">
      <alignment vertical="top"/>
    </xf>
    <xf numFmtId="4" fontId="0" fillId="5" borderId="0" xfId="0" applyNumberFormat="1" applyFill="1" applyAlignment="1">
      <alignment vertical="top"/>
    </xf>
    <xf numFmtId="0" fontId="0" fillId="0" borderId="7" xfId="0" applyBorder="1" applyAlignment="1">
      <alignment vertical="top" wrapText="1"/>
    </xf>
    <xf numFmtId="0" fontId="0" fillId="0" borderId="7" xfId="0" applyBorder="1" applyAlignment="1">
      <alignment vertical="top"/>
    </xf>
    <xf numFmtId="0" fontId="6" fillId="0" borderId="7" xfId="0" applyFont="1" applyBorder="1" applyAlignment="1">
      <alignment vertical="top" wrapText="1"/>
    </xf>
    <xf numFmtId="9" fontId="0" fillId="0" borderId="7" xfId="0" applyNumberFormat="1" applyBorder="1" applyAlignment="1">
      <alignment vertical="top"/>
    </xf>
    <xf numFmtId="0" fontId="6" fillId="0" borderId="0" xfId="0" applyFont="1" applyAlignment="1">
      <alignment vertical="top"/>
    </xf>
    <xf numFmtId="9" fontId="6" fillId="0" borderId="7" xfId="0" applyNumberFormat="1" applyFont="1" applyBorder="1" applyAlignment="1">
      <alignment vertical="top"/>
    </xf>
    <xf numFmtId="0" fontId="0" fillId="0" borderId="14" xfId="0" applyBorder="1" applyAlignment="1">
      <alignment vertical="top"/>
    </xf>
    <xf numFmtId="0" fontId="0" fillId="0" borderId="0" xfId="0" applyBorder="1" applyAlignment="1">
      <alignment vertical="top"/>
    </xf>
    <xf numFmtId="166" fontId="0" fillId="0" borderId="0" xfId="0" applyNumberFormat="1" applyBorder="1" applyAlignment="1">
      <alignment vertical="top"/>
    </xf>
    <xf numFmtId="10" fontId="0" fillId="5" borderId="0" xfId="0" applyNumberFormat="1" applyFill="1" applyAlignment="1">
      <alignment vertical="top"/>
    </xf>
    <xf numFmtId="0" fontId="6" fillId="0" borderId="0" xfId="0" applyFont="1" applyBorder="1" applyAlignment="1">
      <alignment vertical="top"/>
    </xf>
    <xf numFmtId="0" fontId="0" fillId="0" borderId="19" xfId="0" applyBorder="1"/>
    <xf numFmtId="0" fontId="0" fillId="0" borderId="21" xfId="0" applyBorder="1"/>
    <xf numFmtId="0" fontId="0" fillId="0" borderId="28" xfId="0" applyBorder="1"/>
    <xf numFmtId="0" fontId="0" fillId="0" borderId="30" xfId="0" applyBorder="1"/>
    <xf numFmtId="0" fontId="0" fillId="0" borderId="31" xfId="0" applyBorder="1"/>
    <xf numFmtId="0" fontId="0" fillId="0" borderId="13" xfId="0" applyBorder="1"/>
    <xf numFmtId="0" fontId="6" fillId="0" borderId="7" xfId="0" applyFont="1" applyBorder="1" applyAlignment="1">
      <alignment vertical="top"/>
    </xf>
    <xf numFmtId="164" fontId="0" fillId="0" borderId="7" xfId="0" applyNumberFormat="1" applyBorder="1" applyAlignment="1">
      <alignment vertical="top"/>
    </xf>
    <xf numFmtId="4" fontId="0" fillId="0" borderId="7" xfId="0" applyNumberFormat="1" applyBorder="1" applyAlignment="1">
      <alignment vertical="top"/>
    </xf>
    <xf numFmtId="164" fontId="6" fillId="0" borderId="7" xfId="0" applyNumberFormat="1" applyFont="1" applyBorder="1" applyAlignment="1">
      <alignment vertical="top"/>
    </xf>
    <xf numFmtId="164" fontId="6" fillId="0" borderId="0" xfId="0" applyNumberFormat="1" applyFont="1" applyBorder="1" applyAlignment="1">
      <alignment vertical="top"/>
    </xf>
    <xf numFmtId="0" fontId="6" fillId="0" borderId="7" xfId="0" applyFont="1" applyBorder="1" applyAlignment="1">
      <alignment horizontal="center" vertical="top"/>
    </xf>
    <xf numFmtId="0" fontId="6" fillId="0" borderId="1" xfId="0" applyFont="1" applyBorder="1" applyAlignment="1">
      <alignment horizontal="center" vertical="top"/>
    </xf>
    <xf numFmtId="0" fontId="0" fillId="0" borderId="0" xfId="0" applyAlignment="1">
      <alignment vertical="top" wrapText="1"/>
    </xf>
    <xf numFmtId="0" fontId="9" fillId="0" borderId="7" xfId="0" applyFont="1" applyBorder="1" applyAlignment="1">
      <alignment vertical="top" wrapText="1"/>
    </xf>
    <xf numFmtId="0" fontId="6" fillId="0" borderId="0" xfId="0" applyFont="1" applyAlignment="1">
      <alignment vertical="top" wrapText="1"/>
    </xf>
    <xf numFmtId="171" fontId="0" fillId="6" borderId="4" xfId="0" applyNumberFormat="1" applyFill="1" applyBorder="1" applyAlignment="1">
      <alignment vertical="top"/>
    </xf>
    <xf numFmtId="0" fontId="0" fillId="0" borderId="7" xfId="0" applyFill="1" applyBorder="1" applyAlignment="1">
      <alignment vertical="top"/>
    </xf>
    <xf numFmtId="0" fontId="0" fillId="0" borderId="0" xfId="0" applyFill="1" applyAlignment="1">
      <alignment vertical="top"/>
    </xf>
    <xf numFmtId="0" fontId="0" fillId="6" borderId="7" xfId="0" applyFill="1" applyBorder="1" applyAlignment="1">
      <alignment vertical="top"/>
    </xf>
    <xf numFmtId="168" fontId="0" fillId="6" borderId="4" xfId="0" applyNumberFormat="1" applyFill="1" applyBorder="1" applyAlignment="1">
      <alignment vertical="top"/>
    </xf>
    <xf numFmtId="169" fontId="0" fillId="6" borderId="4" xfId="0" applyNumberFormat="1" applyFill="1" applyBorder="1" applyAlignment="1">
      <alignment vertical="top"/>
    </xf>
    <xf numFmtId="170" fontId="0" fillId="0" borderId="31" xfId="0" applyNumberFormat="1" applyFont="1" applyBorder="1" applyAlignment="1">
      <alignment horizontal="center" vertical="top"/>
    </xf>
    <xf numFmtId="0" fontId="10" fillId="6" borderId="7" xfId="0" applyFont="1" applyFill="1" applyBorder="1" applyAlignment="1">
      <alignment vertical="top"/>
    </xf>
    <xf numFmtId="0" fontId="12" fillId="0" borderId="7" xfId="0" applyFont="1" applyBorder="1" applyAlignment="1">
      <alignment vertical="top" wrapText="1"/>
    </xf>
    <xf numFmtId="0" fontId="12" fillId="0" borderId="0" xfId="0" applyFont="1" applyAlignment="1">
      <alignment vertical="top"/>
    </xf>
    <xf numFmtId="0" fontId="0" fillId="8" borderId="0" xfId="0" applyFill="1" applyAlignment="1">
      <alignment vertical="top"/>
    </xf>
    <xf numFmtId="0" fontId="0" fillId="8" borderId="0" xfId="0" applyFill="1" applyAlignment="1">
      <alignment vertical="top" wrapText="1"/>
    </xf>
    <xf numFmtId="0" fontId="0" fillId="9" borderId="7" xfId="0" applyFill="1" applyBorder="1"/>
    <xf numFmtId="0" fontId="0" fillId="8" borderId="0" xfId="0" applyFill="1"/>
    <xf numFmtId="0" fontId="0" fillId="9" borderId="0" xfId="0" applyFill="1" applyBorder="1" applyAlignment="1">
      <alignment horizontal="left"/>
    </xf>
    <xf numFmtId="0" fontId="12" fillId="0" borderId="0" xfId="0" applyFont="1"/>
    <xf numFmtId="4" fontId="14" fillId="8" borderId="0" xfId="0" applyNumberFormat="1" applyFont="1" applyFill="1"/>
    <xf numFmtId="0" fontId="0" fillId="9" borderId="3" xfId="0" applyFill="1" applyBorder="1" applyAlignment="1">
      <alignment horizontal="left"/>
    </xf>
    <xf numFmtId="4" fontId="0" fillId="0" borderId="7" xfId="0" applyNumberFormat="1" applyBorder="1" applyAlignment="1">
      <alignment horizontal="center" vertical="top"/>
    </xf>
    <xf numFmtId="0" fontId="12" fillId="0" borderId="4" xfId="0" applyFont="1" applyBorder="1" applyAlignment="1">
      <alignment vertical="top" wrapText="1"/>
    </xf>
    <xf numFmtId="0" fontId="13" fillId="0" borderId="0" xfId="0" applyFont="1" applyAlignment="1">
      <alignment vertical="top"/>
    </xf>
    <xf numFmtId="0" fontId="13" fillId="8" borderId="0" xfId="0" applyFont="1" applyFill="1"/>
    <xf numFmtId="0" fontId="5" fillId="0" borderId="0" xfId="0" applyFont="1" applyAlignment="1">
      <alignment vertical="top"/>
    </xf>
    <xf numFmtId="170" fontId="0" fillId="0" borderId="7" xfId="0" applyNumberFormat="1" applyFont="1" applyBorder="1" applyAlignment="1">
      <alignment horizontal="center" vertical="top"/>
    </xf>
    <xf numFmtId="0" fontId="0" fillId="9" borderId="0" xfId="0" applyFill="1"/>
    <xf numFmtId="0" fontId="12" fillId="9" borderId="0" xfId="0" applyFont="1" applyFill="1"/>
    <xf numFmtId="0" fontId="15" fillId="9" borderId="0" xfId="0" applyFont="1" applyFill="1"/>
    <xf numFmtId="0" fontId="5" fillId="9" borderId="0" xfId="0" applyFont="1" applyFill="1" applyAlignment="1">
      <alignment horizontal="center"/>
    </xf>
    <xf numFmtId="0" fontId="0" fillId="9" borderId="0" xfId="0" applyFill="1" applyBorder="1" applyAlignment="1">
      <alignment horizontal="center"/>
    </xf>
    <xf numFmtId="0" fontId="9" fillId="9" borderId="0" xfId="0" applyFont="1" applyFill="1"/>
    <xf numFmtId="0" fontId="0" fillId="9" borderId="0" xfId="0" applyFill="1" applyBorder="1"/>
    <xf numFmtId="4" fontId="0" fillId="9" borderId="7" xfId="0" applyNumberFormat="1" applyFill="1" applyBorder="1"/>
    <xf numFmtId="4" fontId="0" fillId="9" borderId="0" xfId="0" applyNumberFormat="1" applyFill="1" applyBorder="1"/>
    <xf numFmtId="0" fontId="0" fillId="9" borderId="1" xfId="0" applyFill="1" applyBorder="1" applyAlignment="1"/>
    <xf numFmtId="0" fontId="0" fillId="9" borderId="3" xfId="0" applyFill="1" applyBorder="1" applyAlignment="1"/>
    <xf numFmtId="0" fontId="0" fillId="9" borderId="0" xfId="0" applyFill="1" applyAlignment="1">
      <alignment vertical="top" wrapText="1"/>
    </xf>
    <xf numFmtId="0" fontId="6" fillId="9" borderId="0" xfId="0" applyFont="1" applyFill="1" applyAlignment="1">
      <alignment vertical="top" wrapText="1"/>
    </xf>
    <xf numFmtId="0" fontId="0" fillId="9" borderId="28" xfId="0" applyFill="1" applyBorder="1" applyAlignment="1"/>
    <xf numFmtId="0" fontId="0" fillId="9" borderId="0" xfId="0" applyFill="1" applyBorder="1" applyAlignment="1"/>
    <xf numFmtId="0" fontId="16" fillId="0" borderId="0" xfId="0" applyFont="1" applyFill="1" applyBorder="1"/>
    <xf numFmtId="0" fontId="17" fillId="0" borderId="0" xfId="0" applyFont="1" applyFill="1" applyBorder="1" applyAlignment="1">
      <alignment vertical="top"/>
    </xf>
    <xf numFmtId="0" fontId="5" fillId="0" borderId="7" xfId="0" applyFont="1" applyBorder="1" applyAlignment="1">
      <alignment vertical="top" wrapText="1"/>
    </xf>
    <xf numFmtId="0" fontId="0" fillId="7" borderId="4" xfId="0" applyFill="1" applyBorder="1" applyAlignment="1" applyProtection="1">
      <alignment vertical="top"/>
      <protection locked="0"/>
    </xf>
    <xf numFmtId="0" fontId="0" fillId="10" borderId="7" xfId="0" applyFill="1" applyBorder="1" applyAlignment="1" applyProtection="1">
      <alignment vertical="top" wrapText="1"/>
      <protection locked="0"/>
    </xf>
    <xf numFmtId="0" fontId="0" fillId="7" borderId="4" xfId="0" applyFill="1" applyBorder="1" applyAlignment="1" applyProtection="1">
      <alignment vertical="top" wrapText="1"/>
      <protection locked="0"/>
    </xf>
    <xf numFmtId="4" fontId="0" fillId="7" borderId="7" xfId="0" applyNumberFormat="1" applyFill="1" applyBorder="1" applyAlignment="1" applyProtection="1">
      <alignment vertical="top" wrapText="1"/>
      <protection locked="0"/>
    </xf>
    <xf numFmtId="167" fontId="0" fillId="7" borderId="7" xfId="0" applyNumberFormat="1" applyFill="1" applyBorder="1" applyAlignment="1" applyProtection="1">
      <alignment vertical="top"/>
      <protection locked="0"/>
    </xf>
    <xf numFmtId="172" fontId="0" fillId="7" borderId="4" xfId="0" applyNumberFormat="1" applyFill="1" applyBorder="1" applyAlignment="1" applyProtection="1">
      <alignment vertical="top"/>
      <protection locked="0"/>
    </xf>
    <xf numFmtId="9" fontId="0" fillId="7" borderId="7" xfId="0" applyNumberFormat="1" applyFill="1" applyBorder="1" applyAlignment="1" applyProtection="1">
      <alignment vertical="top"/>
      <protection locked="0"/>
    </xf>
    <xf numFmtId="170" fontId="0" fillId="7" borderId="14" xfId="0" applyNumberFormat="1" applyFill="1" applyBorder="1" applyAlignment="1" applyProtection="1">
      <alignment vertical="top"/>
      <protection locked="0"/>
    </xf>
    <xf numFmtId="164" fontId="0" fillId="7" borderId="4" xfId="0" applyNumberFormat="1" applyFill="1" applyBorder="1" applyAlignment="1" applyProtection="1">
      <alignment vertical="top"/>
      <protection locked="0"/>
    </xf>
    <xf numFmtId="0" fontId="0" fillId="7" borderId="4" xfId="0" applyFill="1" applyBorder="1" applyAlignment="1" applyProtection="1">
      <alignment horizontal="center" vertical="top"/>
      <protection locked="0"/>
    </xf>
    <xf numFmtId="9" fontId="0" fillId="7" borderId="4" xfId="0" applyNumberFormat="1" applyFill="1" applyBorder="1" applyAlignment="1" applyProtection="1">
      <alignment vertical="top"/>
      <protection locked="0"/>
    </xf>
    <xf numFmtId="10" fontId="0" fillId="10" borderId="3" xfId="0" applyNumberFormat="1" applyFill="1" applyBorder="1" applyAlignment="1" applyProtection="1">
      <alignment vertical="top"/>
      <protection locked="0"/>
    </xf>
    <xf numFmtId="9" fontId="0" fillId="7" borderId="4" xfId="0" applyNumberFormat="1" applyFill="1" applyBorder="1" applyAlignment="1" applyProtection="1">
      <alignment horizontal="center" vertical="top"/>
      <protection locked="0"/>
    </xf>
    <xf numFmtId="0" fontId="0" fillId="0" borderId="7" xfId="0" applyBorder="1"/>
    <xf numFmtId="0" fontId="0" fillId="8" borderId="0" xfId="0" applyFill="1" applyAlignment="1">
      <alignment wrapText="1"/>
    </xf>
    <xf numFmtId="0" fontId="5" fillId="0" borderId="0" xfId="0" applyFont="1" applyAlignment="1">
      <alignment vertical="top" wrapText="1"/>
    </xf>
    <xf numFmtId="0" fontId="0" fillId="5" borderId="0" xfId="0" applyFill="1" applyAlignment="1">
      <alignment vertical="top" wrapText="1"/>
    </xf>
    <xf numFmtId="0" fontId="12" fillId="8" borderId="0" xfId="0" applyFont="1" applyFill="1" applyAlignment="1">
      <alignment wrapText="1"/>
    </xf>
    <xf numFmtId="0" fontId="6" fillId="8" borderId="0" xfId="0" applyFont="1" applyFill="1" applyAlignment="1">
      <alignment vertical="top" wrapText="1"/>
    </xf>
    <xf numFmtId="3" fontId="0" fillId="9" borderId="7" xfId="0" applyNumberFormat="1" applyFill="1" applyBorder="1"/>
    <xf numFmtId="0" fontId="0" fillId="0" borderId="7" xfId="0" applyFill="1" applyBorder="1" applyAlignment="1" applyProtection="1">
      <alignment vertical="top"/>
    </xf>
    <xf numFmtId="9" fontId="0" fillId="7" borderId="7" xfId="0" applyNumberFormat="1" applyFill="1" applyBorder="1" applyAlignment="1" applyProtection="1">
      <alignment vertical="top"/>
    </xf>
    <xf numFmtId="0" fontId="0" fillId="11" borderId="7" xfId="0" applyFill="1" applyBorder="1"/>
    <xf numFmtId="4" fontId="0" fillId="11" borderId="7" xfId="0" applyNumberFormat="1" applyFill="1" applyBorder="1"/>
    <xf numFmtId="164" fontId="0" fillId="11" borderId="7" xfId="0" applyNumberFormat="1" applyFill="1" applyBorder="1"/>
    <xf numFmtId="17" fontId="0" fillId="10" borderId="7" xfId="0" applyNumberFormat="1" applyFill="1" applyBorder="1" applyAlignment="1" applyProtection="1">
      <alignment vertical="top"/>
      <protection locked="0"/>
    </xf>
    <xf numFmtId="0" fontId="0" fillId="7" borderId="7" xfId="0" applyFill="1" applyBorder="1" applyAlignment="1" applyProtection="1">
      <alignment vertical="top" wrapText="1"/>
      <protection locked="0"/>
    </xf>
    <xf numFmtId="9" fontId="0" fillId="7" borderId="7" xfId="0" applyNumberFormat="1" applyFill="1" applyBorder="1" applyAlignment="1" applyProtection="1">
      <alignment vertical="top" wrapText="1"/>
      <protection locked="0"/>
    </xf>
    <xf numFmtId="3" fontId="0" fillId="11" borderId="7" xfId="0" applyNumberFormat="1" applyFill="1" applyBorder="1"/>
    <xf numFmtId="175" fontId="0" fillId="6" borderId="4" xfId="0" applyNumberFormat="1" applyFill="1" applyBorder="1" applyAlignment="1">
      <alignment vertical="top"/>
    </xf>
    <xf numFmtId="3" fontId="0" fillId="12" borderId="7" xfId="0" applyNumberFormat="1" applyFill="1" applyBorder="1"/>
    <xf numFmtId="4" fontId="0" fillId="12" borderId="7" xfId="0" applyNumberFormat="1" applyFill="1" applyBorder="1"/>
    <xf numFmtId="164" fontId="0" fillId="12" borderId="7" xfId="0" applyNumberFormat="1" applyFill="1" applyBorder="1"/>
    <xf numFmtId="4" fontId="0" fillId="13" borderId="7" xfId="0" applyNumberFormat="1" applyFill="1" applyBorder="1"/>
    <xf numFmtId="164" fontId="0" fillId="13" borderId="7" xfId="0" applyNumberFormat="1" applyFill="1" applyBorder="1"/>
    <xf numFmtId="0" fontId="12" fillId="0" borderId="0" xfId="0" applyFont="1" applyBorder="1" applyAlignment="1">
      <alignment vertical="top" wrapText="1"/>
    </xf>
    <xf numFmtId="0" fontId="0" fillId="14" borderId="0" xfId="0" applyFill="1" applyAlignment="1">
      <alignment vertical="top"/>
    </xf>
    <xf numFmtId="0" fontId="0" fillId="14" borderId="0" xfId="0" applyFont="1" applyFill="1" applyBorder="1" applyAlignment="1">
      <alignment horizontal="center" vertical="center" wrapText="1"/>
    </xf>
    <xf numFmtId="4" fontId="1" fillId="0" borderId="4" xfId="4" applyNumberFormat="1" applyFont="1" applyBorder="1" applyAlignment="1">
      <alignment horizontal="left" vertical="top"/>
    </xf>
    <xf numFmtId="4" fontId="1" fillId="0" borderId="7" xfId="4" applyNumberFormat="1" applyFont="1" applyBorder="1" applyAlignment="1">
      <alignment horizontal="left" vertical="top"/>
    </xf>
    <xf numFmtId="0" fontId="19" fillId="14" borderId="0" xfId="0" applyFont="1" applyFill="1" applyAlignment="1"/>
    <xf numFmtId="4" fontId="20" fillId="14" borderId="0" xfId="0" applyNumberFormat="1" applyFont="1" applyFill="1" applyAlignment="1"/>
    <xf numFmtId="0" fontId="0" fillId="14" borderId="0" xfId="0" applyFill="1"/>
    <xf numFmtId="4" fontId="1" fillId="0" borderId="21" xfId="4" applyNumberFormat="1" applyFont="1" applyBorder="1" applyAlignment="1">
      <alignment horizontal="left" vertical="top"/>
    </xf>
    <xf numFmtId="4" fontId="1" fillId="0" borderId="18" xfId="4" applyNumberFormat="1" applyFont="1" applyBorder="1" applyAlignment="1">
      <alignment horizontal="left" vertical="top"/>
    </xf>
    <xf numFmtId="4" fontId="6" fillId="0" borderId="26" xfId="4" applyNumberFormat="1" applyFont="1" applyBorder="1" applyAlignment="1">
      <alignment horizontal="left" vertical="top"/>
    </xf>
    <xf numFmtId="4" fontId="6" fillId="0" borderId="23" xfId="4" applyNumberFormat="1" applyFont="1" applyBorder="1" applyAlignment="1">
      <alignment horizontal="left" vertical="top"/>
    </xf>
    <xf numFmtId="4" fontId="1" fillId="0" borderId="30" xfId="4" applyNumberFormat="1" applyFont="1" applyBorder="1" applyAlignment="1">
      <alignment horizontal="left" vertical="top"/>
    </xf>
    <xf numFmtId="4" fontId="1" fillId="0" borderId="27" xfId="4" applyNumberFormat="1" applyFont="1" applyBorder="1" applyAlignment="1">
      <alignment horizontal="left" vertical="top"/>
    </xf>
    <xf numFmtId="4" fontId="1" fillId="0" borderId="13" xfId="4" applyNumberFormat="1" applyFont="1" applyBorder="1" applyAlignment="1">
      <alignment horizontal="left" vertical="top"/>
    </xf>
    <xf numFmtId="4" fontId="1" fillId="0" borderId="14" xfId="4" applyNumberFormat="1" applyFont="1" applyBorder="1" applyAlignment="1">
      <alignment horizontal="left" vertical="top"/>
    </xf>
    <xf numFmtId="0" fontId="0" fillId="9" borderId="5" xfId="0" applyFont="1" applyFill="1" applyBorder="1"/>
    <xf numFmtId="4" fontId="1" fillId="9" borderId="4" xfId="4" applyNumberFormat="1" applyFont="1" applyFill="1" applyBorder="1" applyAlignment="1">
      <alignment horizontal="left" vertical="top"/>
    </xf>
    <xf numFmtId="4" fontId="1" fillId="9" borderId="7" xfId="4" applyNumberFormat="1" applyFont="1" applyFill="1" applyBorder="1" applyAlignment="1">
      <alignment horizontal="left" vertical="top"/>
    </xf>
    <xf numFmtId="4" fontId="0" fillId="9" borderId="7" xfId="0" applyNumberFormat="1" applyFont="1" applyFill="1" applyBorder="1"/>
    <xf numFmtId="4" fontId="0" fillId="9" borderId="1" xfId="0" applyNumberFormat="1" applyFont="1" applyFill="1" applyBorder="1"/>
    <xf numFmtId="4" fontId="0" fillId="9" borderId="16" xfId="0" applyNumberFormat="1" applyFont="1" applyFill="1" applyBorder="1"/>
    <xf numFmtId="4" fontId="0" fillId="9" borderId="5" xfId="0" applyNumberFormat="1" applyFont="1" applyFill="1" applyBorder="1"/>
    <xf numFmtId="4" fontId="0" fillId="9" borderId="4" xfId="0" applyNumberFormat="1" applyFont="1" applyFill="1" applyBorder="1"/>
    <xf numFmtId="0" fontId="0" fillId="9" borderId="17" xfId="0" applyFont="1" applyFill="1" applyBorder="1"/>
    <xf numFmtId="4" fontId="1" fillId="9" borderId="21" xfId="4" applyNumberFormat="1" applyFont="1" applyFill="1" applyBorder="1" applyAlignment="1">
      <alignment horizontal="left" vertical="top"/>
    </xf>
    <xf numFmtId="4" fontId="1" fillId="9" borderId="18" xfId="4" applyNumberFormat="1" applyFont="1" applyFill="1" applyBorder="1" applyAlignment="1">
      <alignment horizontal="left" vertical="top"/>
    </xf>
    <xf numFmtId="4" fontId="0" fillId="9" borderId="18" xfId="0" applyNumberFormat="1" applyFont="1" applyFill="1" applyBorder="1"/>
    <xf numFmtId="4" fontId="0" fillId="9" borderId="19" xfId="0" applyNumberFormat="1" applyFont="1" applyFill="1" applyBorder="1"/>
    <xf numFmtId="4" fontId="0" fillId="9" borderId="20" xfId="0" applyNumberFormat="1" applyFont="1" applyFill="1" applyBorder="1"/>
    <xf numFmtId="4" fontId="0" fillId="9" borderId="17" xfId="0" applyNumberFormat="1" applyFont="1" applyFill="1" applyBorder="1"/>
    <xf numFmtId="4" fontId="0" fillId="9" borderId="21" xfId="0" applyNumberFormat="1" applyFont="1" applyFill="1" applyBorder="1"/>
    <xf numFmtId="0" fontId="6" fillId="9" borderId="22" xfId="0" applyFont="1" applyFill="1" applyBorder="1"/>
    <xf numFmtId="4" fontId="6" fillId="9" borderId="26" xfId="4" applyNumberFormat="1" applyFont="1" applyFill="1" applyBorder="1" applyAlignment="1">
      <alignment horizontal="left" vertical="top"/>
    </xf>
    <xf numFmtId="4" fontId="6" fillId="9" borderId="23" xfId="4" applyNumberFormat="1" applyFont="1" applyFill="1" applyBorder="1" applyAlignment="1">
      <alignment horizontal="left" vertical="top"/>
    </xf>
    <xf numFmtId="4" fontId="6" fillId="9" borderId="23" xfId="0" applyNumberFormat="1" applyFont="1" applyFill="1" applyBorder="1"/>
    <xf numFmtId="4" fontId="6" fillId="9" borderId="24" xfId="0" applyNumberFormat="1" applyFont="1" applyFill="1" applyBorder="1"/>
    <xf numFmtId="4" fontId="6" fillId="9" borderId="25" xfId="0" applyNumberFormat="1" applyFont="1" applyFill="1" applyBorder="1"/>
    <xf numFmtId="4" fontId="6" fillId="9" borderId="22" xfId="0" applyNumberFormat="1" applyFont="1" applyFill="1" applyBorder="1"/>
    <xf numFmtId="4" fontId="6" fillId="9" borderId="26" xfId="0" applyNumberFormat="1" applyFont="1" applyFill="1" applyBorder="1"/>
    <xf numFmtId="0" fontId="0" fillId="9" borderId="12" xfId="0" applyFont="1" applyFill="1" applyBorder="1"/>
    <xf numFmtId="4" fontId="1" fillId="9" borderId="13" xfId="4" applyNumberFormat="1" applyFont="1" applyFill="1" applyBorder="1" applyAlignment="1">
      <alignment horizontal="left" vertical="top"/>
    </xf>
    <xf numFmtId="4" fontId="1" fillId="9" borderId="14" xfId="4" applyNumberFormat="1" applyFont="1" applyFill="1" applyBorder="1" applyAlignment="1">
      <alignment horizontal="left" vertical="top"/>
    </xf>
    <xf numFmtId="4" fontId="0" fillId="9" borderId="14" xfId="0" applyNumberFormat="1" applyFont="1" applyFill="1" applyBorder="1"/>
    <xf numFmtId="4" fontId="0" fillId="9" borderId="31" xfId="0" applyNumberFormat="1" applyFont="1" applyFill="1" applyBorder="1"/>
    <xf numFmtId="4" fontId="0" fillId="9" borderId="15" xfId="0" applyNumberFormat="1" applyFont="1" applyFill="1" applyBorder="1"/>
    <xf numFmtId="4" fontId="0" fillId="9" borderId="12" xfId="0" applyNumberFormat="1" applyFont="1" applyFill="1" applyBorder="1"/>
    <xf numFmtId="4" fontId="0" fillId="9" borderId="13" xfId="0" applyNumberFormat="1" applyFont="1" applyFill="1" applyBorder="1"/>
    <xf numFmtId="0" fontId="6" fillId="14" borderId="0" xfId="0" applyFont="1" applyFill="1"/>
    <xf numFmtId="10" fontId="0" fillId="14" borderId="0" xfId="0" applyNumberFormat="1" applyFill="1"/>
    <xf numFmtId="4" fontId="0" fillId="0" borderId="0" xfId="0" applyNumberFormat="1" applyFont="1" applyFill="1" applyBorder="1"/>
    <xf numFmtId="10" fontId="0" fillId="0" borderId="7" xfId="0" applyNumberFormat="1" applyBorder="1"/>
    <xf numFmtId="10" fontId="0" fillId="0" borderId="18" xfId="0" applyNumberFormat="1" applyBorder="1"/>
    <xf numFmtId="176" fontId="0" fillId="0" borderId="0" xfId="0" applyNumberFormat="1"/>
    <xf numFmtId="4" fontId="0" fillId="10" borderId="5" xfId="0" applyNumberFormat="1" applyFill="1" applyBorder="1"/>
    <xf numFmtId="4" fontId="0" fillId="10" borderId="3" xfId="0" applyNumberFormat="1" applyFill="1" applyBorder="1"/>
    <xf numFmtId="4" fontId="0" fillId="10" borderId="4" xfId="0" applyNumberFormat="1" applyFill="1" applyBorder="1"/>
    <xf numFmtId="4" fontId="0" fillId="10" borderId="5" xfId="0" applyNumberFormat="1" applyFill="1" applyBorder="1" applyAlignment="1"/>
    <xf numFmtId="0" fontId="0" fillId="10" borderId="3" xfId="0" applyNumberFormat="1" applyFill="1" applyBorder="1"/>
    <xf numFmtId="0" fontId="0" fillId="10" borderId="5" xfId="0" applyNumberFormat="1" applyFill="1" applyBorder="1"/>
    <xf numFmtId="0" fontId="0" fillId="10" borderId="4" xfId="0" applyNumberFormat="1" applyFill="1" applyBorder="1"/>
    <xf numFmtId="4" fontId="0" fillId="0" borderId="0" xfId="0" applyNumberFormat="1" applyAlignment="1"/>
    <xf numFmtId="0" fontId="13" fillId="0" borderId="1" xfId="0" applyFont="1" applyBorder="1"/>
    <xf numFmtId="4" fontId="13" fillId="0" borderId="5" xfId="0" applyNumberFormat="1" applyFont="1" applyBorder="1"/>
    <xf numFmtId="4" fontId="13" fillId="0" borderId="3" xfId="0" applyNumberFormat="1" applyFont="1" applyBorder="1"/>
    <xf numFmtId="4" fontId="13" fillId="0" borderId="4" xfId="0" applyNumberFormat="1" applyFont="1" applyBorder="1"/>
    <xf numFmtId="4" fontId="6" fillId="3" borderId="7" xfId="5" applyNumberFormat="1" applyFont="1" applyFill="1" applyBorder="1"/>
    <xf numFmtId="4" fontId="6" fillId="0" borderId="7" xfId="5" applyNumberFormat="1" applyFont="1" applyBorder="1"/>
    <xf numFmtId="0" fontId="22" fillId="0" borderId="0" xfId="6" applyFont="1" applyAlignment="1"/>
    <xf numFmtId="0" fontId="0" fillId="15" borderId="0" xfId="0" applyFill="1"/>
    <xf numFmtId="4" fontId="0" fillId="15" borderId="0" xfId="0" applyNumberFormat="1" applyFill="1"/>
    <xf numFmtId="0" fontId="12" fillId="0" borderId="4" xfId="0" applyFont="1" applyBorder="1" applyAlignment="1">
      <alignment vertical="top"/>
    </xf>
    <xf numFmtId="0" fontId="15" fillId="0" borderId="7" xfId="0" applyFont="1" applyBorder="1" applyAlignment="1">
      <alignment vertical="top" wrapText="1"/>
    </xf>
    <xf numFmtId="0" fontId="0" fillId="16" borderId="0" xfId="0" applyFill="1" applyAlignment="1">
      <alignment vertical="top"/>
    </xf>
    <xf numFmtId="0" fontId="0" fillId="13" borderId="7" xfId="0" applyNumberFormat="1" applyFill="1" applyBorder="1"/>
    <xf numFmtId="3" fontId="0" fillId="17" borderId="7" xfId="0" applyNumberFormat="1" applyFill="1" applyBorder="1"/>
    <xf numFmtId="4" fontId="0" fillId="17" borderId="7" xfId="0" applyNumberFormat="1" applyFill="1" applyBorder="1"/>
    <xf numFmtId="164" fontId="0" fillId="17" borderId="7" xfId="0" applyNumberFormat="1" applyFill="1" applyBorder="1"/>
    <xf numFmtId="0" fontId="0" fillId="18" borderId="0" xfId="0" applyFill="1"/>
    <xf numFmtId="0" fontId="0" fillId="18" borderId="0" xfId="0" applyFill="1" applyAlignment="1">
      <alignment wrapText="1"/>
    </xf>
    <xf numFmtId="0" fontId="0" fillId="18" borderId="0" xfId="0" applyFill="1" applyBorder="1" applyAlignment="1">
      <alignment horizontal="left" vertical="top"/>
    </xf>
    <xf numFmtId="0" fontId="0" fillId="18" borderId="0" xfId="0" applyFill="1" applyBorder="1" applyAlignment="1">
      <alignment horizontal="left"/>
    </xf>
    <xf numFmtId="0" fontId="6" fillId="18" borderId="0" xfId="0" applyFont="1" applyFill="1" applyBorder="1" applyAlignment="1">
      <alignment horizontal="left" vertical="top"/>
    </xf>
    <xf numFmtId="3" fontId="0" fillId="19" borderId="7" xfId="0" applyNumberFormat="1" applyFill="1" applyBorder="1" applyProtection="1"/>
    <xf numFmtId="4" fontId="0" fillId="19" borderId="7" xfId="0" applyNumberFormat="1" applyFill="1" applyBorder="1" applyProtection="1"/>
    <xf numFmtId="164" fontId="0" fillId="19" borderId="7" xfId="0" applyNumberFormat="1" applyFill="1" applyBorder="1" applyProtection="1"/>
    <xf numFmtId="0" fontId="0" fillId="10" borderId="1" xfId="0" applyFill="1" applyBorder="1" applyAlignment="1" applyProtection="1">
      <alignment horizontal="left" vertical="top" wrapText="1"/>
      <protection locked="0"/>
    </xf>
    <xf numFmtId="0" fontId="0" fillId="10" borderId="3" xfId="0" applyFill="1" applyBorder="1" applyAlignment="1" applyProtection="1">
      <alignment horizontal="left" vertical="top" wrapText="1"/>
      <protection locked="0"/>
    </xf>
    <xf numFmtId="0" fontId="0" fillId="10" borderId="4" xfId="0" applyFill="1" applyBorder="1" applyAlignment="1" applyProtection="1">
      <alignment horizontal="left" vertical="top" wrapText="1"/>
      <protection locked="0"/>
    </xf>
    <xf numFmtId="4" fontId="9" fillId="9" borderId="7" xfId="0" applyNumberFormat="1" applyFont="1" applyFill="1" applyBorder="1" applyAlignment="1">
      <alignment horizontal="center"/>
    </xf>
    <xf numFmtId="164" fontId="0" fillId="9" borderId="1" xfId="0" applyNumberFormat="1" applyFill="1" applyBorder="1" applyAlignment="1">
      <alignment horizontal="center"/>
    </xf>
    <xf numFmtId="164" fontId="0" fillId="9" borderId="3" xfId="0" applyNumberFormat="1" applyFill="1" applyBorder="1" applyAlignment="1">
      <alignment horizontal="center"/>
    </xf>
    <xf numFmtId="164" fontId="0" fillId="9" borderId="4" xfId="0" applyNumberFormat="1" applyFill="1" applyBorder="1" applyAlignment="1">
      <alignment horizontal="center"/>
    </xf>
    <xf numFmtId="0" fontId="13" fillId="9" borderId="1" xfId="0" applyFont="1" applyFill="1" applyBorder="1" applyAlignment="1">
      <alignment horizontal="center"/>
    </xf>
    <xf numFmtId="0" fontId="13" fillId="9" borderId="3" xfId="0" applyFont="1" applyFill="1" applyBorder="1" applyAlignment="1">
      <alignment horizontal="center"/>
    </xf>
    <xf numFmtId="0" fontId="13" fillId="9" borderId="4" xfId="0" applyFont="1" applyFill="1" applyBorder="1" applyAlignment="1">
      <alignment horizontal="center"/>
    </xf>
    <xf numFmtId="3" fontId="9" fillId="9" borderId="7" xfId="0" applyNumberFormat="1" applyFont="1" applyFill="1" applyBorder="1" applyAlignment="1">
      <alignment horizontal="center"/>
    </xf>
    <xf numFmtId="43" fontId="11" fillId="9" borderId="1" xfId="1" applyFont="1" applyFill="1" applyBorder="1" applyAlignment="1">
      <alignment vertical="top" wrapText="1"/>
    </xf>
    <xf numFmtId="43" fontId="11" fillId="9" borderId="3" xfId="1" applyFont="1" applyFill="1" applyBorder="1" applyAlignment="1">
      <alignment vertical="top" wrapText="1"/>
    </xf>
    <xf numFmtId="43" fontId="11" fillId="9" borderId="4" xfId="1" applyFont="1" applyFill="1" applyBorder="1" applyAlignment="1">
      <alignment vertical="top" wrapText="1"/>
    </xf>
    <xf numFmtId="0" fontId="0" fillId="9" borderId="3" xfId="0" applyFill="1" applyBorder="1" applyAlignment="1">
      <alignment horizontal="center"/>
    </xf>
    <xf numFmtId="0" fontId="0" fillId="9" borderId="4" xfId="0" applyFill="1" applyBorder="1" applyAlignment="1">
      <alignment horizontal="center"/>
    </xf>
    <xf numFmtId="164" fontId="0" fillId="9" borderId="1" xfId="0" applyNumberFormat="1" applyFill="1" applyBorder="1" applyAlignment="1">
      <alignment vertical="top" wrapText="1"/>
    </xf>
    <xf numFmtId="0" fontId="0" fillId="9" borderId="3" xfId="0" applyFill="1" applyBorder="1" applyAlignment="1">
      <alignment vertical="top" wrapText="1"/>
    </xf>
    <xf numFmtId="0" fontId="0" fillId="9" borderId="4" xfId="0" applyFill="1" applyBorder="1" applyAlignment="1">
      <alignment vertical="top" wrapText="1"/>
    </xf>
    <xf numFmtId="173" fontId="0" fillId="9" borderId="7" xfId="0" applyNumberFormat="1" applyFill="1" applyBorder="1" applyAlignment="1">
      <alignment horizontal="center"/>
    </xf>
    <xf numFmtId="0" fontId="0" fillId="9" borderId="7" xfId="0" applyFill="1" applyBorder="1" applyAlignment="1">
      <alignment horizontal="center"/>
    </xf>
    <xf numFmtId="0" fontId="0" fillId="9" borderId="1" xfId="0" applyFill="1" applyBorder="1" applyAlignment="1">
      <alignment horizontal="left" vertical="top" wrapText="1"/>
    </xf>
    <xf numFmtId="0" fontId="0" fillId="9" borderId="3" xfId="0" applyFill="1" applyBorder="1" applyAlignment="1">
      <alignment horizontal="left" vertical="top" wrapText="1"/>
    </xf>
    <xf numFmtId="0" fontId="0" fillId="9" borderId="4" xfId="0" applyFill="1" applyBorder="1" applyAlignment="1">
      <alignment horizontal="left" vertical="top" wrapText="1"/>
    </xf>
    <xf numFmtId="0" fontId="0" fillId="9" borderId="1" xfId="0" applyFill="1" applyBorder="1" applyAlignment="1">
      <alignment vertical="top" wrapText="1"/>
    </xf>
    <xf numFmtId="0" fontId="6" fillId="9" borderId="1" xfId="0" applyFont="1" applyFill="1" applyBorder="1" applyAlignment="1">
      <alignment vertical="top" wrapText="1"/>
    </xf>
    <xf numFmtId="0" fontId="6" fillId="9" borderId="3" xfId="0" applyFont="1" applyFill="1" applyBorder="1" applyAlignment="1">
      <alignment vertical="top" wrapText="1"/>
    </xf>
    <xf numFmtId="0" fontId="6" fillId="9" borderId="4" xfId="0" applyFont="1" applyFill="1" applyBorder="1" applyAlignment="1">
      <alignment vertical="top" wrapText="1"/>
    </xf>
    <xf numFmtId="0" fontId="13" fillId="9" borderId="0" xfId="0" applyFont="1" applyFill="1" applyAlignment="1">
      <alignment horizontal="center"/>
    </xf>
    <xf numFmtId="0" fontId="6" fillId="9" borderId="1" xfId="0" applyFont="1" applyFill="1" applyBorder="1" applyAlignment="1">
      <alignment horizontal="left"/>
    </xf>
    <xf numFmtId="0" fontId="6" fillId="9" borderId="3" xfId="0" applyFont="1" applyFill="1" applyBorder="1" applyAlignment="1">
      <alignment horizontal="left"/>
    </xf>
    <xf numFmtId="0" fontId="6" fillId="9" borderId="4" xfId="0" applyFont="1" applyFill="1" applyBorder="1" applyAlignment="1">
      <alignment horizontal="left"/>
    </xf>
    <xf numFmtId="0" fontId="0" fillId="9" borderId="1" xfId="0" applyFill="1" applyBorder="1" applyAlignment="1">
      <alignment horizontal="left"/>
    </xf>
    <xf numFmtId="0" fontId="0" fillId="9" borderId="3" xfId="0" applyFill="1" applyBorder="1" applyAlignment="1">
      <alignment horizontal="left"/>
    </xf>
    <xf numFmtId="0" fontId="0" fillId="9" borderId="4" xfId="0" applyFill="1" applyBorder="1" applyAlignment="1">
      <alignment horizontal="left"/>
    </xf>
    <xf numFmtId="0" fontId="9" fillId="9" borderId="7" xfId="0" applyFont="1" applyFill="1" applyBorder="1" applyAlignment="1">
      <alignment horizontal="center"/>
    </xf>
    <xf numFmtId="0" fontId="0" fillId="9" borderId="1" xfId="0" applyFill="1" applyBorder="1" applyAlignment="1">
      <alignment horizontal="left" wrapText="1"/>
    </xf>
    <xf numFmtId="0" fontId="0" fillId="9" borderId="3" xfId="0" applyFill="1" applyBorder="1" applyAlignment="1">
      <alignment horizontal="left" wrapText="1"/>
    </xf>
    <xf numFmtId="0" fontId="0" fillId="9" borderId="4" xfId="0" applyFill="1" applyBorder="1" applyAlignment="1">
      <alignment horizontal="left" wrapText="1"/>
    </xf>
    <xf numFmtId="0" fontId="0" fillId="9" borderId="1" xfId="0" applyFill="1" applyBorder="1" applyAlignment="1">
      <alignment horizontal="center" wrapText="1"/>
    </xf>
    <xf numFmtId="0" fontId="0" fillId="9" borderId="3" xfId="0" applyFill="1" applyBorder="1" applyAlignment="1">
      <alignment horizontal="center" wrapText="1"/>
    </xf>
    <xf numFmtId="0" fontId="0" fillId="9" borderId="4" xfId="0" applyFill="1" applyBorder="1" applyAlignment="1">
      <alignment horizontal="center" wrapText="1"/>
    </xf>
    <xf numFmtId="0" fontId="6" fillId="9" borderId="1" xfId="0" applyFont="1" applyFill="1" applyBorder="1" applyAlignment="1">
      <alignment horizontal="center"/>
    </xf>
    <xf numFmtId="0" fontId="6" fillId="9" borderId="3" xfId="0" applyFont="1" applyFill="1" applyBorder="1" applyAlignment="1">
      <alignment horizontal="center"/>
    </xf>
    <xf numFmtId="0" fontId="6" fillId="9" borderId="4" xfId="0" applyFont="1" applyFill="1" applyBorder="1" applyAlignment="1">
      <alignment horizontal="center"/>
    </xf>
    <xf numFmtId="164" fontId="0" fillId="9" borderId="1" xfId="0" applyNumberFormat="1" applyFill="1" applyBorder="1" applyAlignment="1">
      <alignment horizontal="left"/>
    </xf>
    <xf numFmtId="3" fontId="0" fillId="9" borderId="1" xfId="0" applyNumberFormat="1" applyFill="1" applyBorder="1" applyAlignment="1">
      <alignment horizontal="center"/>
    </xf>
    <xf numFmtId="3" fontId="0" fillId="9" borderId="4" xfId="0" applyNumberFormat="1" applyFill="1" applyBorder="1" applyAlignment="1">
      <alignment horizontal="center"/>
    </xf>
    <xf numFmtId="0" fontId="0" fillId="9" borderId="0" xfId="0" applyFill="1" applyAlignment="1">
      <alignment horizontal="center"/>
    </xf>
    <xf numFmtId="0" fontId="15" fillId="9" borderId="0" xfId="0" applyFont="1" applyFill="1" applyAlignment="1">
      <alignment horizontal="left" vertical="top" wrapText="1"/>
    </xf>
    <xf numFmtId="0" fontId="15" fillId="9" borderId="1" xfId="0" applyFont="1" applyFill="1" applyBorder="1" applyAlignment="1">
      <alignment horizontal="left" vertical="top" wrapText="1"/>
    </xf>
    <xf numFmtId="0" fontId="15" fillId="9" borderId="3" xfId="0" applyFont="1" applyFill="1" applyBorder="1" applyAlignment="1">
      <alignment horizontal="left" vertical="top" wrapText="1"/>
    </xf>
    <xf numFmtId="0" fontId="15" fillId="9" borderId="4" xfId="0" applyFont="1" applyFill="1" applyBorder="1" applyAlignment="1">
      <alignment horizontal="left" vertical="top" wrapText="1"/>
    </xf>
    <xf numFmtId="0" fontId="0" fillId="9" borderId="0" xfId="0" applyFill="1" applyAlignment="1">
      <alignment horizontal="left" wrapText="1"/>
    </xf>
    <xf numFmtId="0" fontId="18" fillId="9" borderId="0" xfId="0" applyFont="1" applyFill="1" applyBorder="1" applyAlignment="1">
      <alignment horizontal="left" vertical="top" wrapText="1"/>
    </xf>
    <xf numFmtId="9" fontId="0" fillId="9" borderId="1" xfId="0" applyNumberFormat="1" applyFill="1" applyBorder="1" applyAlignment="1">
      <alignment horizontal="center"/>
    </xf>
    <xf numFmtId="0" fontId="0" fillId="9" borderId="7" xfId="0" applyFill="1" applyBorder="1" applyAlignment="1">
      <alignment horizontal="left"/>
    </xf>
    <xf numFmtId="174" fontId="0" fillId="9" borderId="1" xfId="0" applyNumberFormat="1" applyFill="1" applyBorder="1" applyAlignment="1">
      <alignment horizontal="left" wrapText="1"/>
    </xf>
    <xf numFmtId="174" fontId="0" fillId="9" borderId="3" xfId="0" applyNumberFormat="1" applyFill="1" applyBorder="1" applyAlignment="1">
      <alignment horizontal="left" wrapText="1"/>
    </xf>
    <xf numFmtId="174" fontId="0" fillId="9" borderId="4" xfId="0" applyNumberFormat="1" applyFill="1" applyBorder="1" applyAlignment="1">
      <alignment horizontal="left" wrapText="1"/>
    </xf>
    <xf numFmtId="164" fontId="6" fillId="9" borderId="1" xfId="0" applyNumberFormat="1" applyFont="1" applyFill="1" applyBorder="1" applyAlignment="1">
      <alignment vertical="top" wrapText="1"/>
    </xf>
    <xf numFmtId="164" fontId="6" fillId="9" borderId="3" xfId="0" applyNumberFormat="1" applyFont="1" applyFill="1" applyBorder="1" applyAlignment="1">
      <alignment vertical="top" wrapText="1"/>
    </xf>
    <xf numFmtId="164" fontId="6" fillId="9" borderId="4" xfId="0" applyNumberFormat="1" applyFont="1" applyFill="1" applyBorder="1" applyAlignment="1">
      <alignment vertical="top" wrapText="1"/>
    </xf>
    <xf numFmtId="0" fontId="6" fillId="9" borderId="1" xfId="0" applyFont="1" applyFill="1" applyBorder="1" applyAlignment="1">
      <alignment horizontal="left" vertical="top" wrapText="1"/>
    </xf>
    <xf numFmtId="0" fontId="6" fillId="9" borderId="3" xfId="0" applyFont="1" applyFill="1" applyBorder="1" applyAlignment="1">
      <alignment horizontal="left" vertical="top" wrapText="1"/>
    </xf>
    <xf numFmtId="0" fontId="6" fillId="9" borderId="4" xfId="0" applyFont="1" applyFill="1" applyBorder="1" applyAlignment="1">
      <alignment horizontal="left" vertical="top" wrapText="1"/>
    </xf>
    <xf numFmtId="0" fontId="0" fillId="9" borderId="1" xfId="0" applyFill="1" applyBorder="1" applyAlignment="1">
      <alignment horizontal="center"/>
    </xf>
    <xf numFmtId="0" fontId="0" fillId="0" borderId="0" xfId="0" applyFont="1" applyAlignment="1">
      <alignment horizontal="center"/>
    </xf>
    <xf numFmtId="0" fontId="0" fillId="0" borderId="33" xfId="0" applyFont="1" applyBorder="1" applyAlignment="1">
      <alignment horizontal="center"/>
    </xf>
    <xf numFmtId="0" fontId="0" fillId="0" borderId="34" xfId="0" applyFont="1" applyBorder="1" applyAlignment="1">
      <alignment horizontal="center"/>
    </xf>
    <xf numFmtId="0" fontId="0" fillId="0" borderId="35" xfId="0" applyFont="1" applyBorder="1" applyAlignment="1">
      <alignment horizontal="center"/>
    </xf>
  </cellXfs>
  <cellStyles count="7">
    <cellStyle name="Migliaia" xfId="1" builtinId="3"/>
    <cellStyle name="Normale" xfId="0" builtinId="0"/>
    <cellStyle name="Normale 2" xfId="2" xr:uid="{00000000-0005-0000-0000-000002000000}"/>
    <cellStyle name="Normale 3" xfId="6" xr:uid="{00000000-0005-0000-0000-000003000000}"/>
    <cellStyle name="Percentuale 2" xfId="3" xr:uid="{00000000-0005-0000-0000-000004000000}"/>
    <cellStyle name="Percentuale 2 2" xfId="5" xr:uid="{00000000-0005-0000-0000-000005000000}"/>
    <cellStyle name="Valuta 2" xfId="4" xr:uid="{00000000-0005-0000-0000-000006000000}"/>
  </cellStyles>
  <dxfs count="24">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numFmt numFmtId="14" formatCode="0.00%"/>
    </dxf>
    <dxf>
      <font>
        <color theme="0"/>
      </font>
      <fill>
        <patternFill patternType="none">
          <bgColor indexed="65"/>
        </patternFill>
      </fill>
      <border>
        <left/>
        <right/>
        <top/>
        <bottom/>
      </border>
    </dxf>
    <dxf>
      <font>
        <strike/>
      </font>
    </dxf>
    <dxf>
      <numFmt numFmtId="14" formatCode="0.00%"/>
    </dxf>
    <dxf>
      <numFmt numFmtId="14" formatCode="0.00%"/>
    </dxf>
    <dxf>
      <fill>
        <patternFill>
          <bgColor theme="1"/>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0"/>
        </patternFill>
      </fill>
    </dxf>
    <dxf>
      <font>
        <strike/>
      </font>
    </dxf>
    <dxf>
      <font>
        <color auto="1"/>
      </font>
      <fill>
        <patternFill>
          <bgColor rgb="FFFF0000"/>
        </patternFill>
      </fill>
    </dxf>
    <dxf>
      <fill>
        <patternFill>
          <bgColor theme="1"/>
        </patternFill>
      </fill>
    </dxf>
    <dxf>
      <fill>
        <patternFill>
          <bgColor theme="1"/>
        </patternFill>
      </fill>
    </dxf>
    <dxf>
      <fill>
        <patternFill>
          <bgColor theme="1"/>
        </patternFill>
      </fill>
    </dxf>
    <dxf>
      <font>
        <color auto="1"/>
      </font>
      <fill>
        <patternFill>
          <bgColor rgb="FFFF0000"/>
        </patternFill>
      </fill>
    </dxf>
    <dxf>
      <fill>
        <patternFill>
          <bgColor theme="1"/>
        </patternFill>
      </fill>
    </dxf>
    <dxf>
      <font>
        <color rgb="FFFF0000"/>
      </font>
    </dxf>
    <dxf>
      <fill>
        <patternFill>
          <bgColor rgb="FFFF0000"/>
        </patternFill>
      </fill>
    </dxf>
  </dxfs>
  <tableStyles count="1" defaultTableStyle="TableStyleMedium2" defaultPivotStyle="PivotStyleMedium9">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X170"/>
  <sheetViews>
    <sheetView topLeftCell="A47" zoomScaleNormal="100" zoomScaleSheetLayoutView="25" zoomScalePageLayoutView="70" workbookViewId="0">
      <selection activeCell="C33" sqref="C33"/>
    </sheetView>
  </sheetViews>
  <sheetFormatPr defaultRowHeight="15" x14ac:dyDescent="0.25"/>
  <cols>
    <col min="1" max="1" width="9.140625" style="96"/>
    <col min="2" max="2" width="53.85546875" style="96" customWidth="1"/>
    <col min="3" max="3" width="39" style="96" customWidth="1"/>
    <col min="4" max="4" width="41.42578125" style="96" bestFit="1" customWidth="1"/>
    <col min="5" max="5" width="37.85546875" style="96" customWidth="1"/>
    <col min="6" max="17" width="37.7109375" style="96" customWidth="1"/>
    <col min="18" max="22" width="9.140625" style="96" hidden="1" customWidth="1"/>
    <col min="23" max="23" width="117.85546875" style="123" hidden="1" customWidth="1"/>
    <col min="24" max="24" width="9.140625" style="96" hidden="1" customWidth="1"/>
    <col min="25" max="25" width="9.140625" style="96" customWidth="1"/>
    <col min="26" max="16384" width="9.140625" style="96"/>
  </cols>
  <sheetData>
    <row r="1" spans="1:23" x14ac:dyDescent="0.25">
      <c r="A1" s="146" t="s">
        <v>250</v>
      </c>
    </row>
    <row r="2" spans="1:23" s="103" customFormat="1" x14ac:dyDescent="0.25">
      <c r="C2" s="103" t="s">
        <v>127</v>
      </c>
      <c r="D2" s="103" t="s">
        <v>25</v>
      </c>
      <c r="W2" s="125"/>
    </row>
    <row r="3" spans="1:23" x14ac:dyDescent="0.25">
      <c r="B3" s="100" t="s">
        <v>120</v>
      </c>
      <c r="C3" s="168" t="s">
        <v>50</v>
      </c>
    </row>
    <row r="4" spans="1:23" x14ac:dyDescent="0.25">
      <c r="B4" s="105" t="s">
        <v>123</v>
      </c>
      <c r="C4" s="188" t="s">
        <v>244</v>
      </c>
    </row>
    <row r="6" spans="1:23" ht="45" x14ac:dyDescent="0.25">
      <c r="B6" s="100" t="s">
        <v>151</v>
      </c>
      <c r="C6" s="169" t="s">
        <v>351</v>
      </c>
    </row>
    <row r="7" spans="1:23" x14ac:dyDescent="0.25">
      <c r="B7" s="100" t="s">
        <v>153</v>
      </c>
      <c r="C7" s="169" t="s">
        <v>352</v>
      </c>
    </row>
    <row r="8" spans="1:23" x14ac:dyDescent="0.25">
      <c r="B8" s="100" t="s">
        <v>155</v>
      </c>
      <c r="C8" s="169" t="s">
        <v>353</v>
      </c>
    </row>
    <row r="9" spans="1:23" x14ac:dyDescent="0.25">
      <c r="B9" s="100" t="s">
        <v>157</v>
      </c>
      <c r="C9" s="169" t="s">
        <v>354</v>
      </c>
    </row>
    <row r="10" spans="1:23" x14ac:dyDescent="0.25">
      <c r="B10" s="100" t="s">
        <v>159</v>
      </c>
      <c r="C10" s="169" t="s">
        <v>355</v>
      </c>
    </row>
    <row r="11" spans="1:23" ht="30" x14ac:dyDescent="0.25">
      <c r="B11" s="100" t="s">
        <v>160</v>
      </c>
      <c r="C11" s="169" t="s">
        <v>356</v>
      </c>
    </row>
    <row r="13" spans="1:23" ht="90" hidden="1" x14ac:dyDescent="0.25">
      <c r="B13" s="99" t="s">
        <v>242</v>
      </c>
      <c r="C13" s="169" t="s">
        <v>276</v>
      </c>
    </row>
    <row r="15" spans="1:23" x14ac:dyDescent="0.25">
      <c r="A15" s="146" t="s">
        <v>274</v>
      </c>
      <c r="B15" s="123"/>
      <c r="C15" s="123"/>
      <c r="D15" s="123"/>
    </row>
    <row r="16" spans="1:23" ht="409.5" x14ac:dyDescent="0.25">
      <c r="B16" s="100" t="s">
        <v>164</v>
      </c>
      <c r="C16" s="169" t="s">
        <v>357</v>
      </c>
    </row>
    <row r="18" spans="2:24" ht="30" x14ac:dyDescent="0.25">
      <c r="B18" s="100" t="s">
        <v>246</v>
      </c>
      <c r="C18" s="170" t="s">
        <v>289</v>
      </c>
    </row>
    <row r="19" spans="2:24" x14ac:dyDescent="0.25">
      <c r="B19" s="100" t="s">
        <v>247</v>
      </c>
      <c r="C19" s="170" t="s">
        <v>47</v>
      </c>
      <c r="D19" s="134" t="str">
        <f>+IF(AND(C18=C147,C19=C150),"Nel caso di gestione diretta è necessario utilizzare il CCNL Enti Locali.","") &amp; IF(AND(C18=C148,C19&lt;&gt;C150),"Nel caso di buoni servizio è necessario utilizzare il CCNL Cooperative.","")&amp; IF(AND(C18=C145,C19&lt;&gt;C150),"Nel caso di appalto di servizi è necessario utilizzare il CCNL Cooperative.","")</f>
        <v/>
      </c>
    </row>
    <row r="20" spans="2:24" x14ac:dyDescent="0.25">
      <c r="B20" s="100" t="s">
        <v>307</v>
      </c>
      <c r="C20" s="194" t="s">
        <v>312</v>
      </c>
      <c r="D20" s="203"/>
    </row>
    <row r="21" spans="2:24" x14ac:dyDescent="0.25">
      <c r="B21" s="106"/>
      <c r="C21" s="106"/>
      <c r="D21" s="203"/>
    </row>
    <row r="22" spans="2:24" x14ac:dyDescent="0.25">
      <c r="B22" s="106"/>
    </row>
    <row r="23" spans="2:24" x14ac:dyDescent="0.25">
      <c r="B23" s="100" t="s">
        <v>167</v>
      </c>
      <c r="C23" s="194" t="s">
        <v>78</v>
      </c>
    </row>
    <row r="24" spans="2:24" x14ac:dyDescent="0.25">
      <c r="B24" s="106"/>
      <c r="C24" s="167" t="str">
        <f>+IF(AND(C18=INPUT!$C$148,C23&lt;&gt;C154),"Il sistema di accreditamento è un requisito obbligatorio","")</f>
        <v/>
      </c>
      <c r="D24" s="148"/>
      <c r="E24" s="148"/>
      <c r="F24" s="148"/>
      <c r="G24" s="148"/>
      <c r="H24" s="148"/>
      <c r="I24" s="148"/>
      <c r="J24" s="148"/>
      <c r="K24" s="148"/>
      <c r="L24" s="148"/>
      <c r="M24" s="148"/>
      <c r="N24" s="148"/>
      <c r="O24" s="148"/>
      <c r="P24" s="148"/>
      <c r="Q24" s="148"/>
      <c r="R24" s="148"/>
      <c r="S24" s="148"/>
      <c r="T24" s="148"/>
      <c r="U24" s="148"/>
      <c r="V24" s="148"/>
      <c r="W24" s="183"/>
      <c r="X24" s="148"/>
    </row>
    <row r="25" spans="2:24" x14ac:dyDescent="0.25">
      <c r="B25" s="106"/>
    </row>
    <row r="26" spans="2:24" ht="30" x14ac:dyDescent="0.25">
      <c r="B26" s="99" t="s">
        <v>168</v>
      </c>
      <c r="C26" s="169"/>
      <c r="D26" s="135" t="str">
        <f t="shared" ref="D26:D31" si="0">+IF(AND($C$23=$C$154,C26=""),"Questo campo è obbligatorio","")</f>
        <v/>
      </c>
    </row>
    <row r="27" spans="2:24" ht="30" x14ac:dyDescent="0.25">
      <c r="B27" s="99" t="s">
        <v>169</v>
      </c>
      <c r="C27" s="169"/>
      <c r="D27" s="135" t="str">
        <f t="shared" si="0"/>
        <v/>
      </c>
    </row>
    <row r="28" spans="2:24" ht="30" x14ac:dyDescent="0.25">
      <c r="B28" s="99" t="s">
        <v>171</v>
      </c>
      <c r="C28" s="169"/>
      <c r="D28" s="135" t="str">
        <f t="shared" si="0"/>
        <v/>
      </c>
    </row>
    <row r="29" spans="2:24" ht="30" x14ac:dyDescent="0.25">
      <c r="B29" s="99" t="s">
        <v>249</v>
      </c>
      <c r="C29" s="169"/>
      <c r="D29" s="135" t="str">
        <f t="shared" si="0"/>
        <v/>
      </c>
    </row>
    <row r="30" spans="2:24" ht="30" x14ac:dyDescent="0.25">
      <c r="B30" s="99" t="s">
        <v>265</v>
      </c>
      <c r="C30" s="169"/>
      <c r="D30" s="135" t="str">
        <f t="shared" si="0"/>
        <v/>
      </c>
    </row>
    <row r="31" spans="2:24" ht="45" x14ac:dyDescent="0.25">
      <c r="B31" s="99" t="s">
        <v>266</v>
      </c>
      <c r="C31" s="169"/>
      <c r="D31" s="135" t="str">
        <f t="shared" si="0"/>
        <v/>
      </c>
    </row>
    <row r="32" spans="2:24" ht="30" x14ac:dyDescent="0.25">
      <c r="B32" s="99" t="s">
        <v>198</v>
      </c>
      <c r="C32" s="171" t="s">
        <v>273</v>
      </c>
    </row>
    <row r="33" spans="1:4" ht="195" x14ac:dyDescent="0.25">
      <c r="B33" s="100" t="s">
        <v>239</v>
      </c>
      <c r="C33" s="169" t="s">
        <v>358</v>
      </c>
    </row>
    <row r="34" spans="1:4" x14ac:dyDescent="0.25">
      <c r="B34" s="106"/>
    </row>
    <row r="35" spans="1:4" x14ac:dyDescent="0.25">
      <c r="B35" s="106" t="s">
        <v>216</v>
      </c>
    </row>
    <row r="36" spans="1:4" x14ac:dyDescent="0.25">
      <c r="B36" s="100" t="s">
        <v>252</v>
      </c>
      <c r="C36" s="172">
        <v>207</v>
      </c>
    </row>
    <row r="37" spans="1:4" ht="30" x14ac:dyDescent="0.25">
      <c r="B37" s="99" t="s">
        <v>275</v>
      </c>
      <c r="C37" s="173">
        <v>24</v>
      </c>
    </row>
    <row r="38" spans="1:4" x14ac:dyDescent="0.25">
      <c r="B38" s="106"/>
    </row>
    <row r="39" spans="1:4" x14ac:dyDescent="0.25">
      <c r="B39" s="106" t="s">
        <v>253</v>
      </c>
    </row>
    <row r="40" spans="1:4" x14ac:dyDescent="0.25">
      <c r="B40" s="100" t="s">
        <v>189</v>
      </c>
      <c r="C40" s="172">
        <v>204</v>
      </c>
    </row>
    <row r="41" spans="1:4" x14ac:dyDescent="0.25">
      <c r="B41" s="100" t="s">
        <v>190</v>
      </c>
      <c r="C41" s="172">
        <v>0</v>
      </c>
      <c r="D41" s="134" t="str">
        <f>+IF(AND(C41&lt;C36,C40&gt;0,C41&gt;0), "Dai dati inseriti sembrerebbe che con la scheda si estenda il servizio solo ad una parte degli utenti esistenti (e non a tutti) e nel contempo si prendono in carico utenti nuovi. E' opportuno specificare le motivazioni nella descrizione dell'intervento.","") &amp; IF(C41&gt;C36,"Non è possibile estendere il servizio per un numero di utenti maggiore di quello degli utenti attualmente in carico. ","")</f>
        <v/>
      </c>
    </row>
    <row r="42" spans="1:4" x14ac:dyDescent="0.25">
      <c r="B42" s="106"/>
      <c r="C42" s="106"/>
    </row>
    <row r="43" spans="1:4" x14ac:dyDescent="0.25">
      <c r="B43" s="106" t="s">
        <v>191</v>
      </c>
      <c r="C43" s="106"/>
    </row>
    <row r="44" spans="1:4" ht="84" customHeight="1" x14ac:dyDescent="0.25">
      <c r="B44" s="100" t="s">
        <v>189</v>
      </c>
      <c r="C44" s="173">
        <v>24</v>
      </c>
      <c r="D44" s="99" t="str">
        <f>+IF(C44&lt;&gt;C45+C37,"Sembrerebbe che si preveda un numero di ore diverso per gli utenti nuovi rispetto agli utenti attuali (anche tenendo conto dell'eventuale estensione del servizio). E' opportuno specificare le motivazioni nella descrizione dell'intervento ","")</f>
        <v/>
      </c>
    </row>
    <row r="45" spans="1:4" x14ac:dyDescent="0.25">
      <c r="B45" s="100" t="s">
        <v>190</v>
      </c>
      <c r="C45" s="173">
        <v>0</v>
      </c>
      <c r="D45" s="99"/>
    </row>
    <row r="46" spans="1:4" x14ac:dyDescent="0.25">
      <c r="B46" s="106"/>
      <c r="C46" s="106"/>
    </row>
    <row r="47" spans="1:4" x14ac:dyDescent="0.25">
      <c r="A47" s="109" t="s">
        <v>254</v>
      </c>
      <c r="B47" s="106"/>
    </row>
    <row r="48" spans="1:4" x14ac:dyDescent="0.25">
      <c r="C48" s="144" t="str">
        <f>+C142</f>
        <v>ADI/CDI</v>
      </c>
      <c r="D48" s="144" t="str">
        <f>+C143</f>
        <v>SAD/ADS/ADA</v>
      </c>
    </row>
    <row r="49" spans="1:23" ht="16.5" customHeight="1" x14ac:dyDescent="0.25">
      <c r="B49" s="100" t="s">
        <v>128</v>
      </c>
      <c r="C49" s="174">
        <v>0.8</v>
      </c>
      <c r="D49" s="189">
        <v>0</v>
      </c>
    </row>
    <row r="50" spans="1:23" ht="30" x14ac:dyDescent="0.25">
      <c r="B50" s="99" t="s">
        <v>267</v>
      </c>
      <c r="C50" s="174">
        <v>0.2</v>
      </c>
      <c r="D50" s="189">
        <v>0</v>
      </c>
    </row>
    <row r="51" spans="1:23" ht="30" x14ac:dyDescent="0.25">
      <c r="B51" s="99" t="s">
        <v>268</v>
      </c>
      <c r="C51" s="174"/>
      <c r="D51" s="189">
        <v>0</v>
      </c>
    </row>
    <row r="52" spans="1:23" s="103" customFormat="1" x14ac:dyDescent="0.25">
      <c r="B52" s="101" t="s">
        <v>19</v>
      </c>
      <c r="C52" s="104">
        <f>+SUM(C49:C51)</f>
        <v>1</v>
      </c>
      <c r="D52" s="104">
        <f>+SUM(D49:D51)</f>
        <v>0</v>
      </c>
      <c r="W52" s="125"/>
    </row>
    <row r="53" spans="1:23" ht="108.75" customHeight="1" x14ac:dyDescent="0.25">
      <c r="C53" s="99" t="str">
        <f>+IF(AND(C52&lt;&gt;0,C52&lt;&gt;1),"Il totale deve essere pari al 100%. ",IF(C52=0,"la tabella deve essere compilata","")) &amp; IF((C51+C50)&gt;0.2,"L'impiego  di figure ausiliarie, secondo quanto stabilito dalle linee guida, non può incidere per più del 20% del totale delle ore di servizio.  Modificare, ovvero motivare nelle apposite Annotazioni.","")</f>
        <v/>
      </c>
      <c r="D53" s="99" t="str">
        <f>+IF(AND(D52&lt;&gt;0,D52&lt;&gt;1),"Il totale deve essere pari al 100%. ",IF(D52=0,"La tabella deve essere compilata. ","-")) &amp; IF(AND((D51+D50)&gt;0.3,C3&lt;&gt;C139),"L'impiego  di figure ausiliarie, secondo quanto stabilito dalle linee guida, non può incidere per più del 30% del totale delle ore di servizio. Modificare, ovvero motivare nelle apposite Annotazioni.","") &amp; IF(AND((D51+D50)&gt;0.4,C3=C139),"L'impiego  di figure ausiliarie, secondo quanto stabilito dalle linee guida, non può incidere per più del 40% del totale delle ore di servizio. Modificare, ovvero motivare nelle apposite Annotazioni.","")</f>
        <v xml:space="preserve">La tabella deve essere compilata. </v>
      </c>
    </row>
    <row r="55" spans="1:23" x14ac:dyDescent="0.25">
      <c r="B55" s="103" t="s">
        <v>130</v>
      </c>
    </row>
    <row r="56" spans="1:23" x14ac:dyDescent="0.25">
      <c r="B56" s="289"/>
      <c r="C56" s="290"/>
      <c r="D56" s="291"/>
      <c r="W56" s="137">
        <f>+B56</f>
        <v>0</v>
      </c>
    </row>
    <row r="58" spans="1:23" x14ac:dyDescent="0.25">
      <c r="B58" s="106"/>
    </row>
    <row r="61" spans="1:23" x14ac:dyDescent="0.25">
      <c r="A61" s="103" t="s">
        <v>147</v>
      </c>
    </row>
    <row r="62" spans="1:23" x14ac:dyDescent="0.25">
      <c r="C62" s="122" t="s">
        <v>143</v>
      </c>
      <c r="D62" s="122" t="s">
        <v>144</v>
      </c>
      <c r="E62" s="122" t="s">
        <v>145</v>
      </c>
      <c r="F62" s="121" t="s">
        <v>146</v>
      </c>
      <c r="G62" s="121" t="s">
        <v>279</v>
      </c>
      <c r="H62" s="121" t="s">
        <v>280</v>
      </c>
      <c r="I62" s="121" t="s">
        <v>281</v>
      </c>
      <c r="J62" s="121" t="s">
        <v>291</v>
      </c>
      <c r="K62" s="121" t="s">
        <v>292</v>
      </c>
      <c r="L62" s="121" t="s">
        <v>298</v>
      </c>
      <c r="M62" s="121" t="s">
        <v>299</v>
      </c>
      <c r="N62" s="121" t="s">
        <v>305</v>
      </c>
      <c r="O62" s="121" t="s">
        <v>336</v>
      </c>
      <c r="P62" s="121" t="s">
        <v>344</v>
      </c>
      <c r="Q62" s="121" t="s">
        <v>345</v>
      </c>
    </row>
    <row r="63" spans="1:23" x14ac:dyDescent="0.25">
      <c r="B63" s="100" t="s">
        <v>214</v>
      </c>
      <c r="C63" s="132">
        <f t="shared" ref="C63:I63" si="1">+MAX(C64:C65)</f>
        <v>0</v>
      </c>
      <c r="D63" s="132">
        <f t="shared" si="1"/>
        <v>0</v>
      </c>
      <c r="E63" s="132">
        <f t="shared" si="1"/>
        <v>0</v>
      </c>
      <c r="F63" s="149">
        <f t="shared" si="1"/>
        <v>0</v>
      </c>
      <c r="G63" s="149">
        <f t="shared" si="1"/>
        <v>0</v>
      </c>
      <c r="H63" s="149">
        <f t="shared" si="1"/>
        <v>0</v>
      </c>
      <c r="I63" s="149">
        <f t="shared" si="1"/>
        <v>0</v>
      </c>
      <c r="J63" s="149">
        <f t="shared" ref="J63:K63" si="2">+MAX(J64:J65)</f>
        <v>0</v>
      </c>
      <c r="K63" s="149">
        <f t="shared" si="2"/>
        <v>0</v>
      </c>
      <c r="L63" s="149">
        <f t="shared" ref="L63:M63" si="3">+MAX(L64:L65)</f>
        <v>0</v>
      </c>
      <c r="M63" s="149">
        <f t="shared" si="3"/>
        <v>0</v>
      </c>
      <c r="N63" s="149">
        <f t="shared" ref="N63:O63" si="4">+MAX(N64:N65)</f>
        <v>0</v>
      </c>
      <c r="O63" s="149">
        <f t="shared" si="4"/>
        <v>0</v>
      </c>
      <c r="P63" s="149">
        <f t="shared" ref="P63:Q63" si="5">+MAX(P64:P65)</f>
        <v>1</v>
      </c>
      <c r="Q63" s="149">
        <f t="shared" si="5"/>
        <v>2.5</v>
      </c>
    </row>
    <row r="64" spans="1:23" ht="30" x14ac:dyDescent="0.25">
      <c r="B64" s="99" t="s">
        <v>195</v>
      </c>
      <c r="C64" s="175"/>
      <c r="D64" s="175"/>
      <c r="E64" s="175"/>
      <c r="F64" s="175"/>
      <c r="G64" s="175"/>
      <c r="H64" s="175"/>
      <c r="I64" s="175"/>
      <c r="J64" s="175"/>
      <c r="K64" s="175"/>
      <c r="L64" s="175"/>
      <c r="M64" s="175"/>
      <c r="N64" s="175"/>
      <c r="O64" s="175"/>
      <c r="P64" s="175">
        <v>1</v>
      </c>
      <c r="Q64" s="175">
        <v>2.5</v>
      </c>
    </row>
    <row r="65" spans="2:17" ht="30" x14ac:dyDescent="0.25">
      <c r="B65" s="99" t="s">
        <v>196</v>
      </c>
      <c r="C65" s="175"/>
      <c r="D65" s="175"/>
      <c r="E65" s="175"/>
      <c r="F65" s="175"/>
      <c r="G65" s="175"/>
      <c r="H65" s="175"/>
      <c r="I65" s="175"/>
      <c r="J65" s="175"/>
      <c r="K65" s="175"/>
      <c r="L65" s="175"/>
      <c r="M65" s="175"/>
      <c r="N65" s="175"/>
      <c r="O65" s="175"/>
      <c r="P65" s="175"/>
      <c r="Q65" s="175"/>
    </row>
    <row r="68" spans="2:17" x14ac:dyDescent="0.25">
      <c r="B68" s="99" t="s">
        <v>269</v>
      </c>
      <c r="C68" s="129">
        <f t="shared" ref="C68:I68" si="6">+C70+C71</f>
        <v>0</v>
      </c>
      <c r="D68" s="129">
        <f t="shared" si="6"/>
        <v>0</v>
      </c>
      <c r="E68" s="129">
        <f t="shared" si="6"/>
        <v>0</v>
      </c>
      <c r="F68" s="129">
        <f t="shared" si="6"/>
        <v>0</v>
      </c>
      <c r="G68" s="129">
        <f t="shared" si="6"/>
        <v>0</v>
      </c>
      <c r="H68" s="129">
        <f t="shared" si="6"/>
        <v>0</v>
      </c>
      <c r="I68" s="129">
        <f t="shared" si="6"/>
        <v>0</v>
      </c>
      <c r="J68" s="129">
        <f t="shared" ref="J68:K68" si="7">+J70+J71</f>
        <v>0</v>
      </c>
      <c r="K68" s="129">
        <f t="shared" si="7"/>
        <v>0</v>
      </c>
      <c r="L68" s="129">
        <f t="shared" ref="L68:N68" si="8">+L70+L71</f>
        <v>0</v>
      </c>
      <c r="M68" s="129">
        <f t="shared" si="8"/>
        <v>0</v>
      </c>
      <c r="N68" s="129">
        <f t="shared" si="8"/>
        <v>0</v>
      </c>
      <c r="O68" s="129">
        <f t="shared" ref="O68:Q68" si="9">+O70+O71</f>
        <v>0</v>
      </c>
      <c r="P68" s="129">
        <f t="shared" si="9"/>
        <v>4896</v>
      </c>
      <c r="Q68" s="129">
        <f t="shared" si="9"/>
        <v>12240</v>
      </c>
    </row>
    <row r="70" spans="2:17" x14ac:dyDescent="0.25">
      <c r="B70" s="124" t="s">
        <v>181</v>
      </c>
      <c r="C70" s="129">
        <f>+ROUND($C$44*$C$40*C64,2)</f>
        <v>0</v>
      </c>
      <c r="D70" s="129">
        <f t="shared" ref="D70:I70" si="10">+ROUND($C$44*$C$40*D64,2)</f>
        <v>0</v>
      </c>
      <c r="E70" s="129">
        <f t="shared" si="10"/>
        <v>0</v>
      </c>
      <c r="F70" s="129">
        <f t="shared" si="10"/>
        <v>0</v>
      </c>
      <c r="G70" s="129">
        <f t="shared" si="10"/>
        <v>0</v>
      </c>
      <c r="H70" s="129">
        <f t="shared" si="10"/>
        <v>0</v>
      </c>
      <c r="I70" s="129">
        <f t="shared" si="10"/>
        <v>0</v>
      </c>
      <c r="J70" s="129">
        <f t="shared" ref="J70:N70" si="11">+ROUND($C$44*$C$40*J64,2)</f>
        <v>0</v>
      </c>
      <c r="K70" s="129">
        <f t="shared" si="11"/>
        <v>0</v>
      </c>
      <c r="L70" s="129">
        <f t="shared" si="11"/>
        <v>0</v>
      </c>
      <c r="M70" s="129">
        <f t="shared" si="11"/>
        <v>0</v>
      </c>
      <c r="N70" s="129">
        <f t="shared" si="11"/>
        <v>0</v>
      </c>
      <c r="O70" s="129">
        <f t="shared" ref="O70:Q70" si="12">+ROUND($C$44*$C$40*O64,2)</f>
        <v>0</v>
      </c>
      <c r="P70" s="129">
        <f t="shared" si="12"/>
        <v>4896</v>
      </c>
      <c r="Q70" s="129">
        <f t="shared" si="12"/>
        <v>12240</v>
      </c>
    </row>
    <row r="71" spans="2:17" ht="30" x14ac:dyDescent="0.25">
      <c r="B71" s="124" t="s">
        <v>182</v>
      </c>
      <c r="C71" s="129">
        <f>ROUND($C$45*$C$41*C65,2)</f>
        <v>0</v>
      </c>
      <c r="D71" s="129">
        <f t="shared" ref="D71:I71" si="13">ROUND($C$45*$C$41*D65,2)</f>
        <v>0</v>
      </c>
      <c r="E71" s="129">
        <f t="shared" si="13"/>
        <v>0</v>
      </c>
      <c r="F71" s="129">
        <f t="shared" si="13"/>
        <v>0</v>
      </c>
      <c r="G71" s="129">
        <f t="shared" si="13"/>
        <v>0</v>
      </c>
      <c r="H71" s="129">
        <f t="shared" si="13"/>
        <v>0</v>
      </c>
      <c r="I71" s="129">
        <f t="shared" si="13"/>
        <v>0</v>
      </c>
      <c r="J71" s="129">
        <f t="shared" ref="J71:N71" si="14">ROUND($C$45*$C$41*J65,2)</f>
        <v>0</v>
      </c>
      <c r="K71" s="129">
        <f t="shared" si="14"/>
        <v>0</v>
      </c>
      <c r="L71" s="129">
        <f t="shared" si="14"/>
        <v>0</v>
      </c>
      <c r="M71" s="129">
        <f t="shared" si="14"/>
        <v>0</v>
      </c>
      <c r="N71" s="129">
        <f t="shared" si="14"/>
        <v>0</v>
      </c>
      <c r="O71" s="129">
        <f t="shared" ref="O71:Q71" si="15">ROUND($C$45*$C$41*O65,2)</f>
        <v>0</v>
      </c>
      <c r="P71" s="129">
        <f t="shared" si="15"/>
        <v>0</v>
      </c>
      <c r="Q71" s="129">
        <f t="shared" si="15"/>
        <v>0</v>
      </c>
    </row>
    <row r="72" spans="2:17" x14ac:dyDescent="0.25">
      <c r="C72" s="100">
        <f t="shared" ref="C72:I72" si="16">+SUM(C70:C71)</f>
        <v>0</v>
      </c>
      <c r="D72" s="100">
        <f t="shared" si="16"/>
        <v>0</v>
      </c>
      <c r="E72" s="100">
        <f t="shared" si="16"/>
        <v>0</v>
      </c>
      <c r="F72" s="100">
        <f t="shared" si="16"/>
        <v>0</v>
      </c>
      <c r="G72" s="100">
        <f t="shared" si="16"/>
        <v>0</v>
      </c>
      <c r="H72" s="100">
        <f t="shared" si="16"/>
        <v>0</v>
      </c>
      <c r="I72" s="100">
        <f t="shared" si="16"/>
        <v>0</v>
      </c>
      <c r="J72" s="100">
        <f t="shared" ref="J72:K72" si="17">+SUM(J70:J71)</f>
        <v>0</v>
      </c>
      <c r="K72" s="100">
        <f t="shared" si="17"/>
        <v>0</v>
      </c>
      <c r="L72" s="100">
        <f t="shared" ref="L72:N72" si="18">+SUM(L70:L71)</f>
        <v>0</v>
      </c>
      <c r="M72" s="100">
        <f t="shared" si="18"/>
        <v>0</v>
      </c>
      <c r="N72" s="100">
        <f t="shared" si="18"/>
        <v>0</v>
      </c>
      <c r="O72" s="100">
        <f t="shared" ref="O72:Q72" si="19">+SUM(O70:O71)</f>
        <v>0</v>
      </c>
      <c r="P72" s="100">
        <f t="shared" si="19"/>
        <v>4896</v>
      </c>
      <c r="Q72" s="100">
        <f t="shared" si="19"/>
        <v>12240</v>
      </c>
    </row>
    <row r="73" spans="2:17" x14ac:dyDescent="0.25">
      <c r="C73" s="99" t="str">
        <f t="shared" ref="C73:I73" si="20">+IF(C72&lt;&gt;C68,"E' necessario che il totale delle ore nuovi utenti ed estensione orario corrisponda al totale delle ore programmate","-")</f>
        <v>-</v>
      </c>
      <c r="D73" s="99" t="str">
        <f t="shared" si="20"/>
        <v>-</v>
      </c>
      <c r="E73" s="99" t="str">
        <f t="shared" si="20"/>
        <v>-</v>
      </c>
      <c r="F73" s="99" t="str">
        <f t="shared" si="20"/>
        <v>-</v>
      </c>
      <c r="G73" s="99" t="str">
        <f t="shared" si="20"/>
        <v>-</v>
      </c>
      <c r="H73" s="99" t="str">
        <f t="shared" si="20"/>
        <v>-</v>
      </c>
      <c r="I73" s="99" t="str">
        <f t="shared" si="20"/>
        <v>-</v>
      </c>
      <c r="J73" s="99" t="str">
        <f t="shared" ref="J73:K73" si="21">+IF(J72&lt;&gt;J68,"E' necessario che il totale delle ore nuovi utenti ed estensione orario corrisponda al totale delle ore programmate","-")</f>
        <v>-</v>
      </c>
      <c r="K73" s="99" t="str">
        <f t="shared" si="21"/>
        <v>-</v>
      </c>
      <c r="L73" s="99" t="str">
        <f t="shared" ref="L73:N73" si="22">+IF(L72&lt;&gt;L68,"E' necessario che il totale delle ore nuovi utenti ed estensione orario corrisponda al totale delle ore programmate","-")</f>
        <v>-</v>
      </c>
      <c r="M73" s="99" t="str">
        <f t="shared" si="22"/>
        <v>-</v>
      </c>
      <c r="N73" s="99" t="str">
        <f t="shared" si="22"/>
        <v>-</v>
      </c>
      <c r="O73" s="99" t="str">
        <f t="shared" ref="O73:Q73" si="23">+IF(O72&lt;&gt;O68,"E' necessario che il totale delle ore nuovi utenti ed estensione orario corrisponda al totale delle ore programmate","-")</f>
        <v>-</v>
      </c>
      <c r="P73" s="99" t="str">
        <f t="shared" si="23"/>
        <v>-</v>
      </c>
      <c r="Q73" s="99" t="str">
        <f t="shared" si="23"/>
        <v>-</v>
      </c>
    </row>
    <row r="77" spans="2:17" x14ac:dyDescent="0.25">
      <c r="B77" s="99" t="s">
        <v>194</v>
      </c>
      <c r="C77" s="127">
        <f t="shared" ref="C77:I77" si="24">+C79+C80</f>
        <v>0</v>
      </c>
      <c r="D77" s="127">
        <f t="shared" si="24"/>
        <v>0</v>
      </c>
      <c r="E77" s="127">
        <f t="shared" si="24"/>
        <v>0</v>
      </c>
      <c r="F77" s="127">
        <f t="shared" si="24"/>
        <v>0</v>
      </c>
      <c r="G77" s="127">
        <f t="shared" si="24"/>
        <v>0</v>
      </c>
      <c r="H77" s="127">
        <f t="shared" si="24"/>
        <v>0</v>
      </c>
      <c r="I77" s="127">
        <f t="shared" si="24"/>
        <v>0</v>
      </c>
      <c r="J77" s="127">
        <f t="shared" ref="J77:K77" si="25">+J79+J80</f>
        <v>0</v>
      </c>
      <c r="K77" s="127">
        <f t="shared" si="25"/>
        <v>0</v>
      </c>
      <c r="L77" s="127">
        <f t="shared" ref="L77:N77" si="26">+L79+L80</f>
        <v>0</v>
      </c>
      <c r="M77" s="127">
        <f t="shared" si="26"/>
        <v>0</v>
      </c>
      <c r="N77" s="127">
        <f t="shared" si="26"/>
        <v>0</v>
      </c>
      <c r="O77" s="127">
        <f t="shared" ref="O77:Q77" si="27">+O79+O80</f>
        <v>0</v>
      </c>
      <c r="P77" s="127">
        <f t="shared" si="27"/>
        <v>204</v>
      </c>
      <c r="Q77" s="127">
        <f t="shared" si="27"/>
        <v>204</v>
      </c>
    </row>
    <row r="78" spans="2:17" x14ac:dyDescent="0.25">
      <c r="C78" s="128"/>
      <c r="D78" s="128"/>
      <c r="E78" s="128"/>
      <c r="F78" s="128"/>
      <c r="G78" s="128"/>
      <c r="H78" s="128"/>
      <c r="I78" s="128"/>
      <c r="J78" s="128"/>
      <c r="K78" s="128"/>
      <c r="L78" s="128"/>
      <c r="M78" s="128"/>
      <c r="N78" s="128"/>
      <c r="O78" s="128"/>
      <c r="P78" s="128"/>
      <c r="Q78" s="128"/>
    </row>
    <row r="79" spans="2:17" x14ac:dyDescent="0.25">
      <c r="B79" s="124" t="s">
        <v>192</v>
      </c>
      <c r="C79" s="129">
        <f t="shared" ref="C79:I79" si="28">+IF(ISERROR(C70/C64/$C$44),0,C70/C64/$C$44)</f>
        <v>0</v>
      </c>
      <c r="D79" s="129">
        <f t="shared" si="28"/>
        <v>0</v>
      </c>
      <c r="E79" s="129">
        <f t="shared" si="28"/>
        <v>0</v>
      </c>
      <c r="F79" s="129">
        <f t="shared" si="28"/>
        <v>0</v>
      </c>
      <c r="G79" s="129">
        <f t="shared" si="28"/>
        <v>0</v>
      </c>
      <c r="H79" s="129">
        <f t="shared" si="28"/>
        <v>0</v>
      </c>
      <c r="I79" s="129">
        <f t="shared" si="28"/>
        <v>0</v>
      </c>
      <c r="J79" s="129">
        <f t="shared" ref="J79:K79" si="29">+IF(ISERROR(J70/J64/$C$44),0,J70/J64/$C$44)</f>
        <v>0</v>
      </c>
      <c r="K79" s="129">
        <f t="shared" si="29"/>
        <v>0</v>
      </c>
      <c r="L79" s="129">
        <f t="shared" ref="L79:M79" si="30">+IF(ISERROR(L70/L64/$C$44),0,L70/L64/$C$44)</f>
        <v>0</v>
      </c>
      <c r="M79" s="129">
        <f t="shared" si="30"/>
        <v>0</v>
      </c>
      <c r="N79" s="129">
        <f t="shared" ref="N79:O79" si="31">+IF(ISERROR(N70/N64/$C$44),0,N70/N64/$C$44)</f>
        <v>0</v>
      </c>
      <c r="O79" s="129">
        <f t="shared" si="31"/>
        <v>0</v>
      </c>
      <c r="P79" s="129">
        <f t="shared" ref="P79:Q79" si="32">+IF(ISERROR(P70/P64/$C$44),0,P70/P64/$C$44)</f>
        <v>204</v>
      </c>
      <c r="Q79" s="129">
        <f t="shared" si="32"/>
        <v>204</v>
      </c>
    </row>
    <row r="80" spans="2:17" ht="30" x14ac:dyDescent="0.25">
      <c r="B80" s="124" t="s">
        <v>193</v>
      </c>
      <c r="C80" s="133">
        <f t="shared" ref="C80:I80" si="33">+IF(ISERROR(C71/C65/$C$45),0,C71/C65/$C$45)</f>
        <v>0</v>
      </c>
      <c r="D80" s="133">
        <f t="shared" si="33"/>
        <v>0</v>
      </c>
      <c r="E80" s="133">
        <f t="shared" si="33"/>
        <v>0</v>
      </c>
      <c r="F80" s="133">
        <f t="shared" si="33"/>
        <v>0</v>
      </c>
      <c r="G80" s="133">
        <f t="shared" si="33"/>
        <v>0</v>
      </c>
      <c r="H80" s="133">
        <f t="shared" si="33"/>
        <v>0</v>
      </c>
      <c r="I80" s="133">
        <f t="shared" si="33"/>
        <v>0</v>
      </c>
      <c r="J80" s="133">
        <f t="shared" ref="J80:K80" si="34">+IF(ISERROR(J71/J65/$C$45),0,J71/J65/$C$45)</f>
        <v>0</v>
      </c>
      <c r="K80" s="133">
        <f t="shared" si="34"/>
        <v>0</v>
      </c>
      <c r="L80" s="133">
        <f t="shared" ref="L80:M80" si="35">+IF(ISERROR(L71/L65/$C$45),0,L71/L65/$C$45)</f>
        <v>0</v>
      </c>
      <c r="M80" s="133">
        <f t="shared" si="35"/>
        <v>0</v>
      </c>
      <c r="N80" s="133">
        <f t="shared" ref="N80:O80" si="36">+IF(ISERROR(N71/N65/$C$45),0,N71/N65/$C$45)</f>
        <v>0</v>
      </c>
      <c r="O80" s="133">
        <f t="shared" si="36"/>
        <v>0</v>
      </c>
      <c r="P80" s="133">
        <f t="shared" ref="P80:Q80" si="37">+IF(ISERROR(P71/P65/$C$45),0,P71/P65/$C$45)</f>
        <v>0</v>
      </c>
      <c r="Q80" s="133">
        <f t="shared" si="37"/>
        <v>0</v>
      </c>
    </row>
    <row r="83" spans="1:4" x14ac:dyDescent="0.25">
      <c r="B83" s="100" t="s">
        <v>124</v>
      </c>
      <c r="C83" s="130">
        <f>+SUM(C68:Q68)</f>
        <v>17136</v>
      </c>
    </row>
    <row r="84" spans="1:4" x14ac:dyDescent="0.25">
      <c r="B84" s="100" t="s">
        <v>270</v>
      </c>
      <c r="C84" s="131">
        <f>+SUM(C63:Q63)</f>
        <v>3.5</v>
      </c>
    </row>
    <row r="85" spans="1:4" x14ac:dyDescent="0.25">
      <c r="B85" s="100" t="s">
        <v>248</v>
      </c>
      <c r="C85" s="126">
        <f>+C84*4.33</f>
        <v>15.155000000000001</v>
      </c>
    </row>
    <row r="88" spans="1:4" x14ac:dyDescent="0.25">
      <c r="A88" s="146" t="s">
        <v>251</v>
      </c>
      <c r="B88" s="106"/>
    </row>
    <row r="89" spans="1:4" ht="68.25" customHeight="1" x14ac:dyDescent="0.25">
      <c r="B89" s="99" t="s">
        <v>175</v>
      </c>
      <c r="C89" s="176">
        <v>0</v>
      </c>
      <c r="D89" s="99" t="str">
        <f>+IF(C89=0,"Motivare nella parte descrittiva le ragioni per cui non viene prevista alcuna compartecipazone da parte degli utenti. ","")</f>
        <v xml:space="preserve">Motivare nella parte descrittiva le ragioni per cui non viene prevista alcuna compartecipazone da parte degli utenti. </v>
      </c>
    </row>
    <row r="91" spans="1:4" ht="60" x14ac:dyDescent="0.25">
      <c r="B91" s="99" t="s">
        <v>131</v>
      </c>
      <c r="C91" s="177" t="s">
        <v>78</v>
      </c>
    </row>
    <row r="92" spans="1:4" x14ac:dyDescent="0.25">
      <c r="B92" s="106"/>
      <c r="C92" s="107"/>
      <c r="D92" s="107"/>
    </row>
    <row r="93" spans="1:4" x14ac:dyDescent="0.25">
      <c r="B93" s="106"/>
      <c r="C93" s="107"/>
      <c r="D93" s="107"/>
    </row>
    <row r="94" spans="1:4" x14ac:dyDescent="0.25">
      <c r="B94" s="99" t="s">
        <v>136</v>
      </c>
      <c r="C94" s="178">
        <v>0.05</v>
      </c>
      <c r="D94" s="107"/>
    </row>
    <row r="97" spans="1:4" x14ac:dyDescent="0.25">
      <c r="B97" s="100" t="s">
        <v>129</v>
      </c>
      <c r="C97" s="177" t="s">
        <v>53</v>
      </c>
    </row>
    <row r="98" spans="1:4" ht="30" x14ac:dyDescent="0.25">
      <c r="B98" s="99" t="s">
        <v>226</v>
      </c>
      <c r="C98" s="179">
        <v>0.06</v>
      </c>
      <c r="D98" s="145" t="str">
        <f>+IF(AND(C98&gt;0,C98&gt;0.15),"l'incidenza non può essere superiore al 15%","")</f>
        <v/>
      </c>
    </row>
    <row r="99" spans="1:4" x14ac:dyDescent="0.25">
      <c r="B99" s="100" t="s">
        <v>227</v>
      </c>
      <c r="C99" s="197">
        <f>+IF(C97=C154,ROUND(C98*C83,2),0)</f>
        <v>1028.1600000000001</v>
      </c>
    </row>
    <row r="102" spans="1:4" x14ac:dyDescent="0.25">
      <c r="B102" s="100" t="s">
        <v>132</v>
      </c>
      <c r="C102" s="177" t="s">
        <v>53</v>
      </c>
    </row>
    <row r="103" spans="1:4" ht="30" x14ac:dyDescent="0.25">
      <c r="B103" s="99" t="s">
        <v>133</v>
      </c>
      <c r="C103" s="180">
        <v>0.03</v>
      </c>
      <c r="D103" s="145" t="str">
        <f>+IF(AND(C103&gt;0,C103&gt;0.08),"l'incidenza non può essere superiore all'8%","")</f>
        <v/>
      </c>
    </row>
    <row r="104" spans="1:4" ht="45" x14ac:dyDescent="0.25">
      <c r="A104" s="276"/>
      <c r="B104" s="275" t="s">
        <v>337</v>
      </c>
      <c r="C104" s="180">
        <v>0.02</v>
      </c>
      <c r="D104" s="274" t="str">
        <f>+IF(AND(C104&gt;0,C104&gt;0.02),"l'incidenza non può essere superiore all'2%","")</f>
        <v/>
      </c>
    </row>
    <row r="106" spans="1:4" ht="90.75" customHeight="1" x14ac:dyDescent="0.25">
      <c r="B106" s="99" t="s">
        <v>261</v>
      </c>
      <c r="C106" s="174"/>
      <c r="D106" s="99" t="str">
        <f>+IF(C106&gt;0.1,"Stando al CCNL, anche considerando un numero di ore lavorate maggiore di quello previsto mediamente, il costo/orario del personale non può essere ribassato di più che il 10%. Fornire una motivazione al punto successivo della percentuale indicata. ","")</f>
        <v/>
      </c>
    </row>
    <row r="107" spans="1:4" x14ac:dyDescent="0.25">
      <c r="B107" s="100" t="s">
        <v>271</v>
      </c>
      <c r="C107" s="195"/>
    </row>
    <row r="109" spans="1:4" ht="36.75" customHeight="1" x14ac:dyDescent="0.25">
      <c r="B109" s="99" t="s">
        <v>241</v>
      </c>
      <c r="C109" s="118">
        <f>+(H127-H125-IF(H126&gt;0,H125*G126,0))/C83</f>
        <v>21.27656629318394</v>
      </c>
    </row>
    <row r="110" spans="1:4" ht="36.75" customHeight="1" x14ac:dyDescent="0.25">
      <c r="B110" s="99" t="s">
        <v>338</v>
      </c>
      <c r="C110" s="118">
        <f>+C109/(1+C103)*C104+C109</f>
        <v>21.689703502760327</v>
      </c>
    </row>
    <row r="111" spans="1:4" x14ac:dyDescent="0.25">
      <c r="B111" s="106"/>
      <c r="C111" s="106"/>
    </row>
    <row r="112" spans="1:4" x14ac:dyDescent="0.25">
      <c r="A112" s="103" t="s">
        <v>229</v>
      </c>
      <c r="C112" s="106" t="s">
        <v>204</v>
      </c>
    </row>
    <row r="113" spans="1:23" ht="30" x14ac:dyDescent="0.25">
      <c r="B113" s="99" t="s">
        <v>230</v>
      </c>
      <c r="C113" s="193"/>
    </row>
    <row r="114" spans="1:23" ht="30" x14ac:dyDescent="0.25">
      <c r="B114" s="99" t="s">
        <v>231</v>
      </c>
      <c r="C114" s="193"/>
    </row>
    <row r="115" spans="1:23" x14ac:dyDescent="0.25">
      <c r="B115" s="99" t="s">
        <v>232</v>
      </c>
      <c r="C115" s="193"/>
    </row>
    <row r="116" spans="1:23" x14ac:dyDescent="0.25">
      <c r="B116" s="99" t="s">
        <v>234</v>
      </c>
      <c r="C116" s="193"/>
    </row>
    <row r="117" spans="1:23" x14ac:dyDescent="0.25">
      <c r="B117" s="106"/>
      <c r="C117" s="106"/>
    </row>
    <row r="118" spans="1:23" x14ac:dyDescent="0.25">
      <c r="A118" s="109" t="s">
        <v>137</v>
      </c>
      <c r="B118" s="106"/>
      <c r="C118" s="106"/>
    </row>
    <row r="119" spans="1:23" s="103" customFormat="1" x14ac:dyDescent="0.25">
      <c r="B119" s="116"/>
      <c r="C119" s="121" t="s">
        <v>46</v>
      </c>
      <c r="D119" s="121" t="s">
        <v>119</v>
      </c>
      <c r="E119" s="121" t="s">
        <v>18</v>
      </c>
      <c r="F119" s="121" t="s">
        <v>21</v>
      </c>
      <c r="G119" s="121" t="s">
        <v>141</v>
      </c>
      <c r="H119" s="121" t="s">
        <v>24</v>
      </c>
      <c r="R119" s="103">
        <v>1</v>
      </c>
      <c r="W119" s="125"/>
    </row>
    <row r="120" spans="1:23" x14ac:dyDescent="0.25">
      <c r="B120" s="99" t="s">
        <v>139</v>
      </c>
      <c r="C120" s="100" t="str">
        <f>+C19</f>
        <v>CCNL Cooperative</v>
      </c>
      <c r="D120" s="100" t="str">
        <f>+IF(C120=$C$150,"D2","D1")</f>
        <v>D2</v>
      </c>
      <c r="E120" s="100"/>
      <c r="F120" s="118">
        <f>+INDEX('CCNL-appoggio'!$L$2:$L$24,MATCH(INPUT!D120,'CCNL-appoggio'!$K$2:$K$24,0))*IF($C$18=$C$148,1-$C$106,1)*IF($C$18=$C$146,1-$C$106,1)</f>
        <v>20.22</v>
      </c>
      <c r="G120" s="118">
        <f>+C99</f>
        <v>1028.1600000000001</v>
      </c>
      <c r="H120" s="117">
        <f>+ROUND(G120*F120,2)</f>
        <v>20789.400000000001</v>
      </c>
      <c r="R120" s="97">
        <f>+IF(H120&lt;&gt;0,MAX($R$119:R119)+1,0)</f>
        <v>2</v>
      </c>
      <c r="T120" s="136" t="str">
        <f>+B120 &amp;" - "&amp;C120&amp;" -" &amp;D120&amp;" -" &amp;ROUND(F120,2) &amp;" €/ora"</f>
        <v>Coordinatore - CCNL Cooperative -D2 -20,22 €/ora</v>
      </c>
      <c r="U120" s="136" t="s">
        <v>238</v>
      </c>
    </row>
    <row r="121" spans="1:23" x14ac:dyDescent="0.25">
      <c r="B121" s="99" t="s">
        <v>180</v>
      </c>
      <c r="C121" s="100" t="str">
        <f>+C19</f>
        <v>CCNL Cooperative</v>
      </c>
      <c r="D121" s="100" t="str">
        <f>+IF(C121=$C$150,"C2","B3")</f>
        <v>C2</v>
      </c>
      <c r="E121" s="100"/>
      <c r="F121" s="118">
        <f>+INDEX('CCNL-appoggio'!$L$2:$L$24,MATCH(INPUT!D121,'CCNL-appoggio'!$K$2:$K$24,0))*IF($C$18=$C$148,1-$C$106,1)*IF($C$18=$C$146,1-$C$106,1)</f>
        <v>18.57</v>
      </c>
      <c r="G121" s="118">
        <f>+IF($C$4=$C$142,C49*$C$83,D49*$C$83)</f>
        <v>13708.800000000001</v>
      </c>
      <c r="H121" s="117">
        <f>+ROUND(G121*F121,2)</f>
        <v>254572.42</v>
      </c>
      <c r="R121" s="97">
        <f>+IF(H121&lt;&gt;0,MAX($R$119:R120)+1,0)</f>
        <v>3</v>
      </c>
      <c r="T121" s="136" t="str">
        <f>+B121 &amp;" - "&amp;C121&amp;" -" &amp;D121&amp;" -" &amp;ROUND(F121,2) &amp;" €/ora"</f>
        <v>Personale OSS - CCNL Cooperative -C2 -18,57 €/ora</v>
      </c>
      <c r="U121" s="136" t="s">
        <v>238</v>
      </c>
    </row>
    <row r="122" spans="1:23" ht="30" x14ac:dyDescent="0.25">
      <c r="B122" s="99" t="s">
        <v>277</v>
      </c>
      <c r="C122" s="100" t="str">
        <f>+C19</f>
        <v>CCNL Cooperative</v>
      </c>
      <c r="D122" s="100" t="str">
        <f>+IF(C122=$C$150,"C1","B1")</f>
        <v>C1</v>
      </c>
      <c r="E122" s="100"/>
      <c r="F122" s="118">
        <f>+INDEX('CCNL-appoggio'!$L$2:$L$24,MATCH(INPUT!D122,'CCNL-appoggio'!$K$2:$K$24,0))*IF($C$18=$C$148,1-$C$106,1)*IF($C$18=$C$146,1-$C$106,1)</f>
        <v>18.02</v>
      </c>
      <c r="G122" s="118">
        <f>+IF($C$4=$C$142,C50*$C$83,D50*$C$83)</f>
        <v>3427.2000000000003</v>
      </c>
      <c r="H122" s="117">
        <f>+ROUND(G122*F122,2)</f>
        <v>61758.14</v>
      </c>
      <c r="R122" s="97">
        <f>+IF(H122&lt;&gt;0,MAX($R$119:R121)+1,0)</f>
        <v>4</v>
      </c>
      <c r="T122" s="136" t="str">
        <f>+B122 &amp;" - "&amp;C122&amp;" -" &amp;D122&amp;" -" &amp;ROUND(F122,2) &amp;" €/ora"</f>
        <v>Personale OSA/OTA o figure assimilate (dotate di titolo professionale specifico) - CCNL Cooperative -C1 -18,02 €/ora</v>
      </c>
      <c r="U122" s="136" t="s">
        <v>238</v>
      </c>
    </row>
    <row r="123" spans="1:23" ht="30" x14ac:dyDescent="0.25">
      <c r="B123" s="99" t="s">
        <v>268</v>
      </c>
      <c r="C123" s="100" t="str">
        <f>+C19</f>
        <v>CCNL Cooperative</v>
      </c>
      <c r="D123" s="100" t="str">
        <f>+IF(C123=$C$150,"B1","A1")</f>
        <v>B1</v>
      </c>
      <c r="E123" s="100"/>
      <c r="F123" s="118">
        <f>+INDEX('CCNL-appoggio'!$L$2:$L$24,MATCH(INPUT!D123,'CCNL-appoggio'!$K$2:$K$24,0))*IF($C$18=$C$148,1-$C$106,1)*IF($C$18=$C$146,1-$C$106,1)</f>
        <v>16.73</v>
      </c>
      <c r="G123" s="118">
        <f>+IF($C$4=$C$142,C51*$C$83,D51*$C$83)</f>
        <v>0</v>
      </c>
      <c r="H123" s="117">
        <f>+ROUND(G123*F123,2)</f>
        <v>0</v>
      </c>
      <c r="R123" s="97">
        <f>+IF(H123&lt;&gt;0,MAX($R$119:R122)+1,0)</f>
        <v>0</v>
      </c>
      <c r="T123" s="136" t="str">
        <f>+B123 &amp;" - "&amp;C123&amp;" -" &amp;D123&amp;" -" &amp;ROUND(F123,2) &amp;" €/ora"</f>
        <v>Assistente Domiciliare, assistente familiare o figure assimilate - CCNL Cooperative -B1 -16,73 €/ora</v>
      </c>
      <c r="U123" s="136" t="s">
        <v>238</v>
      </c>
    </row>
    <row r="124" spans="1:23" x14ac:dyDescent="0.25">
      <c r="B124" s="99" t="s">
        <v>22</v>
      </c>
      <c r="C124" s="100"/>
      <c r="D124" s="100"/>
      <c r="E124" s="102">
        <f>+IF(C102="Si",C103,0)</f>
        <v>0.03</v>
      </c>
      <c r="F124" s="100"/>
      <c r="G124" s="102">
        <f>+E124</f>
        <v>0.03</v>
      </c>
      <c r="H124" s="117">
        <f>+ROUND(E124*SUM(H120:H123),2)</f>
        <v>10113.6</v>
      </c>
      <c r="R124" s="97">
        <f>+IF(H124&lt;&gt;0,MAX($R$119:R123)+1,0)</f>
        <v>5</v>
      </c>
      <c r="T124" s="136" t="str">
        <f>+B124</f>
        <v>Spese generali</v>
      </c>
      <c r="U124" s="136" t="s">
        <v>237</v>
      </c>
    </row>
    <row r="125" spans="1:23" x14ac:dyDescent="0.25">
      <c r="B125" s="99" t="s">
        <v>339</v>
      </c>
      <c r="C125" s="100"/>
      <c r="D125" s="100"/>
      <c r="E125" s="102">
        <f>+C104</f>
        <v>0.02</v>
      </c>
      <c r="F125" s="100"/>
      <c r="G125" s="102">
        <f>+E125</f>
        <v>0.02</v>
      </c>
      <c r="H125" s="117">
        <f>+ROUND(SUM(H120:H123)*SUM(M68:Q68)/C83*E125,2)</f>
        <v>6742.4</v>
      </c>
      <c r="R125" s="97">
        <f>+IF(H125&lt;&gt;0,MAX($R$119:R124)+1,0)</f>
        <v>6</v>
      </c>
      <c r="T125" s="136" t="str">
        <f>+B125</f>
        <v>Spese generali aggiuntive (ex COVID-19)</v>
      </c>
      <c r="U125" s="136" t="s">
        <v>237</v>
      </c>
    </row>
    <row r="126" spans="1:23" x14ac:dyDescent="0.25">
      <c r="B126" s="99" t="s">
        <v>23</v>
      </c>
      <c r="C126" s="100"/>
      <c r="D126" s="100"/>
      <c r="E126" s="102">
        <f>+C94</f>
        <v>0.05</v>
      </c>
      <c r="F126" s="100"/>
      <c r="G126" s="102">
        <f>+E126</f>
        <v>0.05</v>
      </c>
      <c r="H126" s="117">
        <f>+IF(AND(C89=0,C91=C155,C18&lt;&gt;C147),ROUND(SUM(H120:H125)*E126,2),IF(AND(C89=0,C91=C155,C18=C147),ROUND(H124*G126,2),0))</f>
        <v>17698.8</v>
      </c>
      <c r="R126" s="97">
        <f>+IF(H126&lt;&gt;0,MAX($R$119:R125)+1,0)</f>
        <v>7</v>
      </c>
      <c r="T126" s="136" t="str">
        <f>+B126</f>
        <v>IVA</v>
      </c>
      <c r="U126" s="136" t="s">
        <v>237</v>
      </c>
    </row>
    <row r="127" spans="1:23" x14ac:dyDescent="0.25">
      <c r="B127" s="116" t="s">
        <v>215</v>
      </c>
      <c r="C127" s="100"/>
      <c r="D127" s="100"/>
      <c r="E127" s="102"/>
      <c r="F127" s="100"/>
      <c r="G127" s="100"/>
      <c r="H127" s="119">
        <f>+SUM(H120:H126)</f>
        <v>371674.76</v>
      </c>
    </row>
    <row r="128" spans="1:23" x14ac:dyDescent="0.25">
      <c r="B128" s="100" t="s">
        <v>138</v>
      </c>
      <c r="C128" s="100"/>
      <c r="D128" s="100"/>
      <c r="E128" s="100"/>
      <c r="F128" s="100"/>
      <c r="G128" s="100"/>
      <c r="H128" s="117">
        <f>-ROUND(C89*C83,2)</f>
        <v>0</v>
      </c>
      <c r="R128" s="97">
        <v>1</v>
      </c>
    </row>
    <row r="129" spans="2:23" s="103" customFormat="1" x14ac:dyDescent="0.25">
      <c r="B129" s="116" t="s">
        <v>142</v>
      </c>
      <c r="C129" s="116"/>
      <c r="D129" s="116"/>
      <c r="E129" s="116"/>
      <c r="F129" s="116"/>
      <c r="G129" s="116"/>
      <c r="H129" s="119">
        <f>+SUM(H127:H128)</f>
        <v>371674.76</v>
      </c>
      <c r="W129" s="125"/>
    </row>
    <row r="130" spans="2:23" s="103" customFormat="1" x14ac:dyDescent="0.25">
      <c r="B130" s="109"/>
      <c r="C130" s="109"/>
      <c r="D130" s="109"/>
      <c r="E130" s="109"/>
      <c r="F130" s="109"/>
      <c r="G130" s="109"/>
      <c r="H130" s="120"/>
      <c r="W130" s="125"/>
    </row>
    <row r="131" spans="2:23" s="103" customFormat="1" x14ac:dyDescent="0.25">
      <c r="B131" s="109"/>
      <c r="C131" s="109"/>
      <c r="D131" s="109"/>
      <c r="E131" s="109"/>
      <c r="F131" s="109"/>
      <c r="G131" s="109"/>
      <c r="H131" s="120"/>
      <c r="W131" s="125"/>
    </row>
    <row r="132" spans="2:23" s="103" customFormat="1" x14ac:dyDescent="0.25">
      <c r="B132" s="109"/>
      <c r="C132" s="109"/>
      <c r="D132" s="109"/>
      <c r="E132" s="109"/>
      <c r="F132" s="109"/>
      <c r="G132" s="109"/>
      <c r="H132" s="120"/>
      <c r="W132" s="125"/>
    </row>
    <row r="133" spans="2:23" s="103" customFormat="1" x14ac:dyDescent="0.25">
      <c r="B133" s="109"/>
      <c r="C133" s="109"/>
      <c r="D133" s="109"/>
      <c r="E133" s="109"/>
      <c r="F133" s="109"/>
      <c r="G133" s="109"/>
      <c r="H133" s="120"/>
      <c r="W133" s="125"/>
    </row>
    <row r="134" spans="2:23" s="103" customFormat="1" x14ac:dyDescent="0.25">
      <c r="B134" s="109"/>
      <c r="C134" s="109"/>
      <c r="D134" s="109"/>
      <c r="E134" s="109"/>
      <c r="F134" s="109"/>
      <c r="G134" s="109"/>
      <c r="H134" s="120"/>
      <c r="W134" s="125"/>
    </row>
    <row r="135" spans="2:23" s="103" customFormat="1" hidden="1" x14ac:dyDescent="0.25">
      <c r="B135" s="109"/>
      <c r="C135" s="109"/>
      <c r="D135" s="109"/>
      <c r="E135" s="109"/>
      <c r="F135" s="109"/>
      <c r="G135" s="109"/>
      <c r="H135" s="120"/>
      <c r="W135" s="125"/>
    </row>
    <row r="136" spans="2:23" hidden="1" x14ac:dyDescent="0.25"/>
    <row r="137" spans="2:23" s="97" customFormat="1" hidden="1" x14ac:dyDescent="0.25">
      <c r="C137" s="98" t="s">
        <v>75</v>
      </c>
      <c r="W137" s="184"/>
    </row>
    <row r="138" spans="2:23" s="97" customFormat="1" hidden="1" x14ac:dyDescent="0.25">
      <c r="C138" s="98" t="s">
        <v>76</v>
      </c>
      <c r="W138" s="184"/>
    </row>
    <row r="139" spans="2:23" s="97" customFormat="1" hidden="1" x14ac:dyDescent="0.25">
      <c r="C139" s="98" t="s">
        <v>50</v>
      </c>
      <c r="W139" s="184"/>
    </row>
    <row r="140" spans="2:23" s="97" customFormat="1" hidden="1" x14ac:dyDescent="0.25">
      <c r="C140" s="98" t="s">
        <v>77</v>
      </c>
      <c r="W140" s="184"/>
    </row>
    <row r="141" spans="2:23" hidden="1" x14ac:dyDescent="0.25"/>
    <row r="142" spans="2:23" s="97" customFormat="1" hidden="1" x14ac:dyDescent="0.25">
      <c r="B142" s="97">
        <v>1</v>
      </c>
      <c r="C142" s="98" t="s">
        <v>244</v>
      </c>
      <c r="D142" s="97" t="s">
        <v>272</v>
      </c>
      <c r="W142" s="184"/>
    </row>
    <row r="143" spans="2:23" s="97" customFormat="1" hidden="1" x14ac:dyDescent="0.25">
      <c r="B143" s="97">
        <v>2</v>
      </c>
      <c r="C143" s="98" t="s">
        <v>245</v>
      </c>
      <c r="D143" s="97" t="s">
        <v>260</v>
      </c>
      <c r="W143" s="184"/>
    </row>
    <row r="144" spans="2:23" hidden="1" x14ac:dyDescent="0.25"/>
    <row r="145" spans="3:23" s="97" customFormat="1" hidden="1" x14ac:dyDescent="0.25">
      <c r="C145" s="98" t="s">
        <v>289</v>
      </c>
      <c r="W145" s="184"/>
    </row>
    <row r="146" spans="3:23" s="97" customFormat="1" hidden="1" x14ac:dyDescent="0.25">
      <c r="C146" s="98" t="s">
        <v>290</v>
      </c>
      <c r="W146" s="184"/>
    </row>
    <row r="147" spans="3:23" s="97" customFormat="1" hidden="1" x14ac:dyDescent="0.25">
      <c r="C147" s="98" t="s">
        <v>135</v>
      </c>
      <c r="W147" s="184"/>
    </row>
    <row r="148" spans="3:23" s="97" customFormat="1" hidden="1" x14ac:dyDescent="0.25">
      <c r="C148" s="98" t="s">
        <v>262</v>
      </c>
      <c r="W148" s="184"/>
    </row>
    <row r="149" spans="3:23" hidden="1" x14ac:dyDescent="0.25"/>
    <row r="150" spans="3:23" s="97" customFormat="1" hidden="1" x14ac:dyDescent="0.25">
      <c r="C150" s="98" t="s">
        <v>47</v>
      </c>
      <c r="D150" s="204" t="s">
        <v>309</v>
      </c>
      <c r="E150" s="204" t="s">
        <v>310</v>
      </c>
      <c r="F150" s="204" t="s">
        <v>311</v>
      </c>
      <c r="G150" s="204" t="s">
        <v>312</v>
      </c>
      <c r="W150" s="184"/>
    </row>
    <row r="151" spans="3:23" s="97" customFormat="1" hidden="1" x14ac:dyDescent="0.25">
      <c r="C151" s="98" t="s">
        <v>126</v>
      </c>
      <c r="D151" s="204" t="s">
        <v>309</v>
      </c>
      <c r="E151" s="204" t="s">
        <v>308</v>
      </c>
      <c r="F151" s="204"/>
      <c r="G151" s="204"/>
      <c r="W151" s="184"/>
    </row>
    <row r="152" spans="3:23" s="97" customFormat="1" hidden="1" x14ac:dyDescent="0.25">
      <c r="C152" s="98" t="s">
        <v>125</v>
      </c>
      <c r="W152" s="184"/>
    </row>
    <row r="153" spans="3:23" hidden="1" x14ac:dyDescent="0.25"/>
    <row r="154" spans="3:23" s="97" customFormat="1" hidden="1" x14ac:dyDescent="0.25">
      <c r="C154" s="98" t="s">
        <v>53</v>
      </c>
      <c r="W154" s="184"/>
    </row>
    <row r="155" spans="3:23" s="97" customFormat="1" hidden="1" x14ac:dyDescent="0.25">
      <c r="C155" s="98" t="s">
        <v>78</v>
      </c>
      <c r="W155" s="184"/>
    </row>
    <row r="156" spans="3:23" hidden="1" x14ac:dyDescent="0.25"/>
    <row r="157" spans="3:23" s="97" customFormat="1" hidden="1" x14ac:dyDescent="0.25">
      <c r="C157" s="108">
        <v>0</v>
      </c>
      <c r="W157" s="184"/>
    </row>
    <row r="158" spans="3:23" s="97" customFormat="1" hidden="1" x14ac:dyDescent="0.25">
      <c r="C158" s="108">
        <v>0.05</v>
      </c>
      <c r="W158" s="184"/>
    </row>
    <row r="159" spans="3:23" s="97" customFormat="1" hidden="1" x14ac:dyDescent="0.25">
      <c r="C159" s="108">
        <v>0.22</v>
      </c>
      <c r="W159" s="184"/>
    </row>
    <row r="160" spans="3:23" hidden="1" x14ac:dyDescent="0.25"/>
    <row r="161" spans="3:23" hidden="1" x14ac:dyDescent="0.25"/>
    <row r="162" spans="3:23" s="97" customFormat="1" hidden="1" x14ac:dyDescent="0.25">
      <c r="C162" s="97" t="s">
        <v>213</v>
      </c>
      <c r="D162" s="97" t="str">
        <f>+INPUT!C4</f>
        <v>ADI/CDI</v>
      </c>
      <c r="W162" s="184"/>
    </row>
    <row r="163" spans="3:23" s="97" customFormat="1" hidden="1" x14ac:dyDescent="0.25">
      <c r="D163" s="98" t="str">
        <f>+C142</f>
        <v>ADI/CDI</v>
      </c>
      <c r="E163" s="97" t="s">
        <v>273</v>
      </c>
      <c r="W163" s="184"/>
    </row>
    <row r="164" spans="3:23" s="97" customFormat="1" hidden="1" x14ac:dyDescent="0.25">
      <c r="D164" s="98" t="str">
        <f>+C143</f>
        <v>SAD/ADS/ADA</v>
      </c>
      <c r="E164" s="97" t="s">
        <v>273</v>
      </c>
      <c r="W164" s="184"/>
    </row>
    <row r="165" spans="3:23" s="97" customFormat="1" hidden="1" x14ac:dyDescent="0.25">
      <c r="D165" s="98" t="str">
        <f>+C143</f>
        <v>SAD/ADS/ADA</v>
      </c>
      <c r="E165" s="97" t="s">
        <v>211</v>
      </c>
      <c r="W165" s="184"/>
    </row>
    <row r="166" spans="3:23" hidden="1" x14ac:dyDescent="0.25"/>
    <row r="167" spans="3:23" hidden="1" x14ac:dyDescent="0.25"/>
    <row r="168" spans="3:23" hidden="1" x14ac:dyDescent="0.25"/>
    <row r="169" spans="3:23" hidden="1" x14ac:dyDescent="0.25"/>
    <row r="170" spans="3:23" hidden="1" x14ac:dyDescent="0.25"/>
  </sheetData>
  <sheetProtection algorithmName="SHA-512" hashValue="CHPWWtQ91/9YnkJqu/tzoQiKvcNO6jizt1hY5rn+jGdwL8K28ok2oA+XQ/lFI91Bn/LPENhXm+kzXF3G+2xoaw==" saltValue="PBnU8vVaF4vlYXuTwQVBZw==" spinCount="100000" sheet="1" formatRows="0" selectLockedCells="1"/>
  <mergeCells count="1">
    <mergeCell ref="B56:D56"/>
  </mergeCells>
  <phoneticPr fontId="2" type="noConversion"/>
  <conditionalFormatting sqref="C73:K73">
    <cfRule type="expression" dxfId="23" priority="30" stopIfTrue="1">
      <formula>C73&lt;&gt;"-"</formula>
    </cfRule>
  </conditionalFormatting>
  <conditionalFormatting sqref="D106 D41 D44:D45 D89">
    <cfRule type="expression" dxfId="22" priority="15" stopIfTrue="1">
      <formula>D41&lt;&gt;""</formula>
    </cfRule>
  </conditionalFormatting>
  <conditionalFormatting sqref="C49:C53">
    <cfRule type="expression" dxfId="21" priority="176" stopIfTrue="1">
      <formula>$C$4=$C$143</formula>
    </cfRule>
  </conditionalFormatting>
  <conditionalFormatting sqref="D53">
    <cfRule type="expression" dxfId="20" priority="177" stopIfTrue="1">
      <formula>AND(D53&lt;&gt;"-",$C$4=$C$143)</formula>
    </cfRule>
  </conditionalFormatting>
  <conditionalFormatting sqref="C103:D103">
    <cfRule type="expression" dxfId="19" priority="181" stopIfTrue="1">
      <formula>$C$102=$C$155</formula>
    </cfRule>
  </conditionalFormatting>
  <conditionalFormatting sqref="B106:D106 B106:C107">
    <cfRule type="expression" dxfId="18" priority="182" stopIfTrue="1">
      <formula>OR(AND($C$18&lt;&gt;$C$148,$C$18&lt;&gt;$C$146),$C$19&lt;&gt;$C$150)</formula>
    </cfRule>
  </conditionalFormatting>
  <conditionalFormatting sqref="D49:D53">
    <cfRule type="expression" dxfId="17" priority="186" stopIfTrue="1">
      <formula>$C$4=$C$142</formula>
    </cfRule>
  </conditionalFormatting>
  <conditionalFormatting sqref="C53">
    <cfRule type="expression" dxfId="16" priority="187" stopIfTrue="1">
      <formula>AND(C53&lt;&gt;"",$C$4=$C$142)</formula>
    </cfRule>
  </conditionalFormatting>
  <conditionalFormatting sqref="B13:C13">
    <cfRule type="expression" dxfId="15" priority="191" stopIfTrue="1">
      <formula>$C$4&lt;&gt;$C$143</formula>
    </cfRule>
  </conditionalFormatting>
  <conditionalFormatting sqref="C13">
    <cfRule type="expression" dxfId="14" priority="192">
      <formula>$C$4&lt;&gt;$C$143</formula>
    </cfRule>
  </conditionalFormatting>
  <conditionalFormatting sqref="C98:D98">
    <cfRule type="expression" dxfId="13" priority="6" stopIfTrue="1">
      <formula>$C$97=$C$155</formula>
    </cfRule>
  </conditionalFormatting>
  <conditionalFormatting sqref="L73">
    <cfRule type="expression" dxfId="12" priority="5" stopIfTrue="1">
      <formula>L73&lt;&gt;"-"</formula>
    </cfRule>
  </conditionalFormatting>
  <conditionalFormatting sqref="M73:N73">
    <cfRule type="expression" dxfId="11" priority="4" stopIfTrue="1">
      <formula>M73&lt;&gt;"-"</formula>
    </cfRule>
  </conditionalFormatting>
  <conditionalFormatting sqref="O73:Q73">
    <cfRule type="expression" dxfId="10" priority="3" stopIfTrue="1">
      <formula>O73&lt;&gt;"-"</formula>
    </cfRule>
  </conditionalFormatting>
  <conditionalFormatting sqref="C104:D104">
    <cfRule type="expression" dxfId="9" priority="1" stopIfTrue="1">
      <formula>$C$102=$C$155</formula>
    </cfRule>
  </conditionalFormatting>
  <dataValidations count="9">
    <dataValidation type="list" allowBlank="1" showInputMessage="1" showErrorMessage="1" sqref="C32" xr:uid="{00000000-0002-0000-0000-000000000000}">
      <formula1>IF(D162=D163,E163,E164:E165)</formula1>
    </dataValidation>
    <dataValidation type="list" allowBlank="1" showInputMessage="1" showErrorMessage="1" sqref="C102 C23 C97 C91" xr:uid="{00000000-0002-0000-0000-000001000000}">
      <formula1>$C$154:$C$155</formula1>
    </dataValidation>
    <dataValidation type="list" allowBlank="1" showInputMessage="1" showErrorMessage="1" sqref="C94" xr:uid="{00000000-0002-0000-0000-000002000000}">
      <formula1>$C$157:$C$159</formula1>
    </dataValidation>
    <dataValidation type="list" allowBlank="1" showInputMessage="1" showErrorMessage="1" sqref="C18" xr:uid="{00000000-0002-0000-0000-000003000000}">
      <formula1>$C$145:$C$148</formula1>
    </dataValidation>
    <dataValidation type="list" allowBlank="1" showInputMessage="1" showErrorMessage="1" sqref="C19" xr:uid="{00000000-0002-0000-0000-000004000000}">
      <formula1>$C$150:$C$152</formula1>
    </dataValidation>
    <dataValidation type="list" allowBlank="1" showInputMessage="1" showErrorMessage="1" sqref="C3" xr:uid="{00000000-0002-0000-0000-000005000000}">
      <formula1>$C$137:$C$140</formula1>
    </dataValidation>
    <dataValidation type="list" allowBlank="1" showInputMessage="1" showErrorMessage="1" sqref="C4" xr:uid="{00000000-0002-0000-0000-000006000000}">
      <formula1>$C$142:$C$143</formula1>
    </dataValidation>
    <dataValidation type="custom" allowBlank="1" showInputMessage="1" showErrorMessage="1" sqref="C64:Q65" xr:uid="{00000000-0002-0000-0000-000007000000}">
      <formula1>C64&lt;=6</formula1>
    </dataValidation>
    <dataValidation type="list" allowBlank="1" showInputMessage="1" showErrorMessage="1" sqref="C20" xr:uid="{00000000-0002-0000-0000-000008000000}">
      <formula1>IF($C$19=$C$150,$D$150:$G$150,$D$151:$E$151)</formula1>
    </dataValidation>
  </dataValidations>
  <pageMargins left="0.7" right="0.7" top="0.75" bottom="0.75" header="0.3" footer="0.3"/>
  <pageSetup paperSize="8" scale="32" orientation="landscape" r:id="rId1"/>
  <colBreaks count="1" manualBreakCount="1">
    <brk id="17" max="12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pageSetUpPr fitToPage="1"/>
  </sheetPr>
  <dimension ref="A1:CE128"/>
  <sheetViews>
    <sheetView tabSelected="1" zoomScaleNormal="100" zoomScaleSheetLayoutView="85" workbookViewId="0">
      <selection sqref="A1:O1"/>
    </sheetView>
  </sheetViews>
  <sheetFormatPr defaultColWidth="7.42578125" defaultRowHeight="15" x14ac:dyDescent="0.25"/>
  <cols>
    <col min="6" max="6" width="10.140625" bestFit="1" customWidth="1"/>
    <col min="15" max="15" width="7.42578125" customWidth="1"/>
    <col min="42" max="49" width="7.42578125" customWidth="1"/>
    <col min="50" max="52" width="7.42578125" hidden="1" customWidth="1"/>
    <col min="53" max="53" width="80.5703125" style="182" hidden="1" customWidth="1"/>
    <col min="54" max="54" width="7.42578125" hidden="1" customWidth="1"/>
    <col min="55" max="55" width="49" style="182" hidden="1" customWidth="1"/>
    <col min="56" max="56" width="7.42578125" hidden="1" customWidth="1"/>
    <col min="57" max="57" width="105.140625" style="182" hidden="1" customWidth="1"/>
    <col min="58" max="60" width="7.42578125" customWidth="1"/>
  </cols>
  <sheetData>
    <row r="1" spans="1:57" x14ac:dyDescent="0.25">
      <c r="A1" s="317" t="s">
        <v>148</v>
      </c>
      <c r="B1" s="317"/>
      <c r="C1" s="317"/>
      <c r="D1" s="317"/>
      <c r="E1" s="317"/>
      <c r="F1" s="317"/>
      <c r="G1" s="317"/>
      <c r="H1" s="317"/>
      <c r="I1" s="317"/>
      <c r="J1" s="317"/>
      <c r="K1" s="317"/>
      <c r="L1" s="317"/>
      <c r="M1" s="317"/>
      <c r="N1" s="317"/>
      <c r="O1" s="317"/>
    </row>
    <row r="2" spans="1:57" x14ac:dyDescent="0.25">
      <c r="A2" s="321" t="s">
        <v>197</v>
      </c>
      <c r="B2" s="322"/>
      <c r="C2" s="322"/>
      <c r="D2" s="322"/>
      <c r="E2" s="322"/>
      <c r="F2" s="322"/>
      <c r="G2" s="322"/>
      <c r="H2" s="322"/>
      <c r="I2" s="322"/>
      <c r="J2" s="322"/>
      <c r="K2" s="322"/>
      <c r="L2" s="322"/>
      <c r="M2" s="322"/>
      <c r="N2" s="322"/>
      <c r="O2" s="323"/>
    </row>
    <row r="3" spans="1:57" x14ac:dyDescent="0.25">
      <c r="A3" s="331" t="str">
        <f>+INDEX(INPUT!D142:D143,MATCH(INPUT!C4,INPUT!C142:C143,0))</f>
        <v>1 - Assistenza Domiciliare Integrata con l'assistenza sanitaria (ADI/CDI)</v>
      </c>
      <c r="B3" s="332"/>
      <c r="C3" s="332"/>
      <c r="D3" s="332"/>
      <c r="E3" s="332"/>
      <c r="F3" s="332"/>
      <c r="G3" s="332"/>
      <c r="H3" s="332"/>
      <c r="I3" s="332"/>
      <c r="J3" s="332"/>
      <c r="K3" s="332"/>
      <c r="L3" s="332"/>
      <c r="M3" s="332"/>
      <c r="N3" s="332"/>
      <c r="O3" s="333"/>
    </row>
    <row r="4" spans="1:57" x14ac:dyDescent="0.25">
      <c r="A4" s="318" t="s">
        <v>149</v>
      </c>
      <c r="B4" s="319"/>
      <c r="C4" s="319"/>
      <c r="D4" s="319"/>
      <c r="E4" s="319"/>
      <c r="F4" s="319"/>
      <c r="G4" s="319"/>
      <c r="H4" s="319"/>
      <c r="I4" s="319"/>
      <c r="J4" s="319"/>
      <c r="K4" s="319"/>
      <c r="L4" s="319"/>
      <c r="M4" s="319"/>
      <c r="N4" s="319"/>
      <c r="O4" s="320"/>
    </row>
    <row r="5" spans="1:57" x14ac:dyDescent="0.25">
      <c r="A5" s="150" t="s">
        <v>150</v>
      </c>
      <c r="B5" s="150" t="s">
        <v>151</v>
      </c>
      <c r="C5" s="150"/>
      <c r="D5" s="150"/>
      <c r="E5" s="310" t="str">
        <f>+INPUT!C6</f>
        <v>Assistenza domiciliare integrata con i servizi sanitari nel distretto socio sanitario 27.</v>
      </c>
      <c r="F5" s="311"/>
      <c r="G5" s="311"/>
      <c r="H5" s="311"/>
      <c r="I5" s="311"/>
      <c r="J5" s="311"/>
      <c r="K5" s="311"/>
      <c r="L5" s="311"/>
      <c r="M5" s="311"/>
      <c r="N5" s="311"/>
      <c r="O5" s="312"/>
      <c r="BA5" s="182" t="str">
        <f t="shared" ref="BA5:BA10" si="0">+E5</f>
        <v>Assistenza domiciliare integrata con i servizi sanitari nel distretto socio sanitario 27.</v>
      </c>
    </row>
    <row r="6" spans="1:57" x14ac:dyDescent="0.25">
      <c r="A6" s="150" t="s">
        <v>152</v>
      </c>
      <c r="B6" s="150" t="s">
        <v>153</v>
      </c>
      <c r="C6" s="150"/>
      <c r="D6" s="150"/>
      <c r="E6" s="310" t="str">
        <f>+INPUT!C7</f>
        <v>Comuni del Distretto socio sanitario 27</v>
      </c>
      <c r="F6" s="311"/>
      <c r="G6" s="311"/>
      <c r="H6" s="311"/>
      <c r="I6" s="311"/>
      <c r="J6" s="311"/>
      <c r="K6" s="311"/>
      <c r="L6" s="311"/>
      <c r="M6" s="311"/>
      <c r="N6" s="311"/>
      <c r="O6" s="312"/>
      <c r="BA6" s="182" t="str">
        <f t="shared" si="0"/>
        <v>Comuni del Distretto socio sanitario 27</v>
      </c>
    </row>
    <row r="7" spans="1:57" x14ac:dyDescent="0.25">
      <c r="A7" s="150" t="s">
        <v>154</v>
      </c>
      <c r="B7" s="150" t="s">
        <v>155</v>
      </c>
      <c r="C7" s="150"/>
      <c r="D7" s="150"/>
      <c r="E7" s="310" t="str">
        <f>+INPUT!C8</f>
        <v>Comune di Milazzo</v>
      </c>
      <c r="F7" s="311"/>
      <c r="G7" s="311"/>
      <c r="H7" s="311"/>
      <c r="I7" s="311"/>
      <c r="J7" s="311"/>
      <c r="K7" s="311"/>
      <c r="L7" s="311"/>
      <c r="M7" s="311"/>
      <c r="N7" s="311"/>
      <c r="O7" s="312"/>
      <c r="BA7" s="182" t="str">
        <f t="shared" si="0"/>
        <v>Comune di Milazzo</v>
      </c>
    </row>
    <row r="8" spans="1:57" x14ac:dyDescent="0.25">
      <c r="A8" s="150" t="s">
        <v>156</v>
      </c>
      <c r="B8" s="150" t="s">
        <v>157</v>
      </c>
      <c r="C8" s="150"/>
      <c r="D8" s="150"/>
      <c r="E8" s="310" t="str">
        <f>+INPUT!C9</f>
        <v>Bueti domenica</v>
      </c>
      <c r="F8" s="311"/>
      <c r="G8" s="311"/>
      <c r="H8" s="311"/>
      <c r="I8" s="311"/>
      <c r="J8" s="311"/>
      <c r="K8" s="311"/>
      <c r="L8" s="311"/>
      <c r="M8" s="311"/>
      <c r="N8" s="311"/>
      <c r="O8" s="312"/>
      <c r="BA8" s="182" t="str">
        <f t="shared" si="0"/>
        <v>Bueti domenica</v>
      </c>
    </row>
    <row r="9" spans="1:57" x14ac:dyDescent="0.25">
      <c r="A9" s="150" t="s">
        <v>158</v>
      </c>
      <c r="B9" s="150" t="s">
        <v>159</v>
      </c>
      <c r="C9" s="150"/>
      <c r="D9" s="150"/>
      <c r="E9" s="310" t="str">
        <f>+INPUT!C10</f>
        <v>\0909231259</v>
      </c>
      <c r="F9" s="311"/>
      <c r="G9" s="311"/>
      <c r="H9" s="311"/>
      <c r="I9" s="311"/>
      <c r="J9" s="311"/>
      <c r="K9" s="311"/>
      <c r="L9" s="311"/>
      <c r="M9" s="311"/>
      <c r="N9" s="311"/>
      <c r="O9" s="312"/>
      <c r="BA9" s="182" t="str">
        <f t="shared" si="0"/>
        <v>\0909231259</v>
      </c>
    </row>
    <row r="10" spans="1:57" x14ac:dyDescent="0.25">
      <c r="A10" s="150" t="s">
        <v>161</v>
      </c>
      <c r="B10" s="150" t="s">
        <v>160</v>
      </c>
      <c r="C10" s="150"/>
      <c r="D10" s="150"/>
      <c r="E10" s="310" t="str">
        <f>+INPUT!C11</f>
        <v>protocollogenerale@pec.comune.milazzo.me.it</v>
      </c>
      <c r="F10" s="311"/>
      <c r="G10" s="311"/>
      <c r="H10" s="311"/>
      <c r="I10" s="311"/>
      <c r="J10" s="311"/>
      <c r="K10" s="311"/>
      <c r="L10" s="311"/>
      <c r="M10" s="311"/>
      <c r="N10" s="311"/>
      <c r="O10" s="312"/>
      <c r="BA10" s="182" t="str">
        <f t="shared" si="0"/>
        <v>protocollogenerale@pec.comune.milazzo.me.it</v>
      </c>
    </row>
    <row r="11" spans="1:57" x14ac:dyDescent="0.25">
      <c r="A11" s="150" t="s">
        <v>162</v>
      </c>
      <c r="B11" s="150" t="s">
        <v>163</v>
      </c>
      <c r="C11" s="150"/>
      <c r="D11" s="150"/>
      <c r="E11" s="334">
        <f>+INPUT!H129</f>
        <v>371674.76</v>
      </c>
      <c r="F11" s="322"/>
      <c r="G11" s="322"/>
      <c r="H11" s="323"/>
      <c r="I11" s="150"/>
      <c r="J11" s="150"/>
      <c r="K11" s="150"/>
      <c r="L11" s="150"/>
      <c r="M11" s="150"/>
      <c r="N11" s="150"/>
      <c r="O11" s="150"/>
    </row>
    <row r="12" spans="1:57" x14ac:dyDescent="0.25">
      <c r="A12" s="150"/>
      <c r="B12" s="150"/>
      <c r="C12" s="150"/>
      <c r="D12" s="150"/>
      <c r="E12" s="150"/>
      <c r="F12" s="150"/>
      <c r="G12" s="150"/>
      <c r="H12" s="150"/>
      <c r="I12" s="150"/>
      <c r="J12" s="150"/>
      <c r="K12" s="150"/>
      <c r="L12" s="150"/>
      <c r="M12" s="150"/>
      <c r="N12" s="150"/>
      <c r="O12" s="150"/>
    </row>
    <row r="13" spans="1:57" x14ac:dyDescent="0.25">
      <c r="A13" s="318" t="s">
        <v>205</v>
      </c>
      <c r="B13" s="319"/>
      <c r="C13" s="319"/>
      <c r="D13" s="319"/>
      <c r="E13" s="319"/>
      <c r="F13" s="319"/>
      <c r="G13" s="319"/>
      <c r="H13" s="319"/>
      <c r="I13" s="319"/>
      <c r="J13" s="319"/>
      <c r="K13" s="319"/>
      <c r="L13" s="319"/>
      <c r="M13" s="319"/>
      <c r="N13" s="319"/>
      <c r="O13" s="320"/>
    </row>
    <row r="14" spans="1:57" ht="195" x14ac:dyDescent="0.25">
      <c r="A14" s="150" t="s">
        <v>150</v>
      </c>
      <c r="B14" s="150" t="s">
        <v>243</v>
      </c>
      <c r="C14" s="150"/>
      <c r="D14" s="150"/>
      <c r="E14" s="310" t="str">
        <f>+INPUT!C16</f>
        <v xml:space="preserve">Il servizio di Assistenza Domiciliare socio-assistenziale integrata con i servizi sanitari nel Distretto Socio Sanitario (A.D.I.) è destinato a persone over 65 non autosufficienti impossibilitate, per gravi motivi di salute, ad uscire di casa che necessitano di assistenza di natura complessa sanitaria e socio-assistenziale integrata.
Le prestazioni di assistenza domiciliare socio-assistenziale integrata sono rivolte agli anziani residenti nei Comuni del Distretto socio sanitario n.27, le quali saranno attivate attraverso un percorso unitario di presa in carico, valutazione multidimensionale del bisogno e definizione di un piano personalizzato d’assistenza (PAI).
Il servizio verrà appaltato mediante procedura aperta con il sistema dell'offerta economicamente più vantaggiosa   ai sensi del  D. Lgs. 50/2016 e s.m.i. ad una impresa sociale regolarmente iscritta alla sezione anziani e/o inabili, tipologia assistenza domiciliare, ci cui all'Albo Regionale ex art. 26 della L.R. 22/86 che dovrà fornire il personale qualificato in relazione alla mansioni da svolgere.       </v>
      </c>
      <c r="F14" s="311"/>
      <c r="G14" s="311"/>
      <c r="H14" s="311"/>
      <c r="I14" s="311"/>
      <c r="J14" s="311"/>
      <c r="K14" s="311"/>
      <c r="L14" s="311"/>
      <c r="M14" s="311"/>
      <c r="N14" s="311"/>
      <c r="O14" s="312"/>
      <c r="BA14" s="182" t="str">
        <f>+E14</f>
        <v xml:space="preserve">Il servizio di Assistenza Domiciliare socio-assistenziale integrata con i servizi sanitari nel Distretto Socio Sanitario (A.D.I.) è destinato a persone over 65 non autosufficienti impossibilitate, per gravi motivi di salute, ad uscire di casa che necessitano di assistenza di natura complessa sanitaria e socio-assistenziale integrata.
Le prestazioni di assistenza domiciliare socio-assistenziale integrata sono rivolte agli anziani residenti nei Comuni del Distretto socio sanitario n.27, le quali saranno attivate attraverso un percorso unitario di presa in carico, valutazione multidimensionale del bisogno e definizione di un piano personalizzato d’assistenza (PAI).
Il servizio verrà appaltato mediante procedura aperta con il sistema dell'offerta economicamente più vantaggiosa   ai sensi del  D. Lgs. 50/2016 e s.m.i. ad una impresa sociale regolarmente iscritta alla sezione anziani e/o inabili, tipologia assistenza domiciliare, ci cui all'Albo Regionale ex art. 26 della L.R. 22/86 che dovrà fornire il personale qualificato in relazione alla mansioni da svolgere.       </v>
      </c>
    </row>
    <row r="15" spans="1:57" x14ac:dyDescent="0.25">
      <c r="A15" s="150"/>
      <c r="B15" s="150"/>
      <c r="C15" s="150"/>
      <c r="D15" s="150"/>
      <c r="E15" s="140"/>
      <c r="F15" s="140"/>
      <c r="G15" s="140"/>
      <c r="H15" s="140"/>
      <c r="I15" s="140"/>
      <c r="J15" s="140"/>
      <c r="K15" s="140"/>
      <c r="L15" s="140"/>
      <c r="M15" s="140"/>
      <c r="N15" s="140"/>
      <c r="O15" s="140"/>
    </row>
    <row r="16" spans="1:57" s="141" customFormat="1" x14ac:dyDescent="0.25">
      <c r="A16" s="151"/>
      <c r="B16" s="338" t="s">
        <v>242</v>
      </c>
      <c r="C16" s="338"/>
      <c r="D16" s="338"/>
      <c r="E16" s="338"/>
      <c r="F16" s="338"/>
      <c r="G16" s="338"/>
      <c r="H16" s="338"/>
      <c r="I16" s="338"/>
      <c r="J16" s="338"/>
      <c r="K16" s="338"/>
      <c r="L16" s="338"/>
      <c r="M16" s="338"/>
      <c r="N16" s="338"/>
      <c r="O16" s="338"/>
      <c r="BA16" s="185"/>
      <c r="BC16" s="185"/>
      <c r="BE16" s="185"/>
    </row>
    <row r="17" spans="1:57" s="141" customFormat="1" ht="45" x14ac:dyDescent="0.25">
      <c r="A17" s="151"/>
      <c r="B17" s="152"/>
      <c r="C17" s="152"/>
      <c r="D17" s="152"/>
      <c r="E17" s="339" t="str">
        <f>+INPUT!C13</f>
        <v>Fornire l'attestazione che, con i servizi finanziati con risorse Proprie e/o con gli ulteriori servizi programmati a valere sul PAC sono soddisfatti i livelli di prestazioni socio-assistenziali complementari all'ADI rispondenti al fabbisogno del territorio</v>
      </c>
      <c r="F17" s="340"/>
      <c r="G17" s="340"/>
      <c r="H17" s="340"/>
      <c r="I17" s="340"/>
      <c r="J17" s="340"/>
      <c r="K17" s="340"/>
      <c r="L17" s="340"/>
      <c r="M17" s="340"/>
      <c r="N17" s="340"/>
      <c r="O17" s="341"/>
      <c r="BA17" s="182" t="str">
        <f>+E17</f>
        <v>Fornire l'attestazione che, con i servizi finanziati con risorse Proprie e/o con gli ulteriori servizi programmati a valere sul PAC sono soddisfatti i livelli di prestazioni socio-assistenziali complementari all'ADI rispondenti al fabbisogno del territorio</v>
      </c>
      <c r="BC17" s="185"/>
      <c r="BE17" s="185"/>
    </row>
    <row r="18" spans="1:57" x14ac:dyDescent="0.25">
      <c r="A18" s="150"/>
      <c r="B18" s="150"/>
      <c r="C18" s="150"/>
      <c r="D18" s="150"/>
      <c r="E18" s="150"/>
      <c r="F18" s="150"/>
      <c r="G18" s="150"/>
      <c r="H18" s="150"/>
      <c r="I18" s="150"/>
      <c r="J18" s="150"/>
      <c r="K18" s="150"/>
      <c r="L18" s="150"/>
      <c r="M18" s="150"/>
      <c r="N18" s="150"/>
      <c r="O18" s="150"/>
    </row>
    <row r="19" spans="1:57" x14ac:dyDescent="0.25">
      <c r="A19" s="150" t="s">
        <v>165</v>
      </c>
      <c r="B19" s="150" t="s">
        <v>246</v>
      </c>
      <c r="C19" s="150"/>
      <c r="D19" s="150"/>
      <c r="E19" s="150"/>
      <c r="F19" s="150"/>
      <c r="G19" s="150"/>
      <c r="H19" s="150"/>
      <c r="I19" s="150"/>
      <c r="J19" s="150"/>
      <c r="K19" s="150"/>
      <c r="L19" s="150"/>
      <c r="M19" s="150"/>
      <c r="N19" s="150"/>
      <c r="O19" s="150"/>
    </row>
    <row r="20" spans="1:57" x14ac:dyDescent="0.25">
      <c r="A20" s="150"/>
      <c r="B20" s="150"/>
      <c r="C20" s="150"/>
      <c r="D20" s="150"/>
      <c r="E20" s="328" t="str">
        <f>+INPUT!C18</f>
        <v>appalto di servizio ex D.lgs 50/2016 e ss.mm.ii. da bandire</v>
      </c>
      <c r="F20" s="329"/>
      <c r="G20" s="329"/>
      <c r="H20" s="329"/>
      <c r="I20" s="329"/>
      <c r="J20" s="329"/>
      <c r="K20" s="329"/>
      <c r="L20" s="329"/>
      <c r="M20" s="329"/>
      <c r="N20" s="329"/>
      <c r="O20" s="330"/>
      <c r="BA20" s="182" t="str">
        <f>+E20</f>
        <v>appalto di servizio ex D.lgs 50/2016 e ss.mm.ii. da bandire</v>
      </c>
    </row>
    <row r="21" spans="1:57" x14ac:dyDescent="0.25">
      <c r="A21" s="150" t="s">
        <v>154</v>
      </c>
      <c r="B21" s="150" t="s">
        <v>167</v>
      </c>
      <c r="C21" s="150"/>
      <c r="D21" s="150"/>
      <c r="E21" s="150"/>
      <c r="F21" s="150"/>
      <c r="G21" s="150"/>
      <c r="H21" s="150"/>
      <c r="I21" s="150"/>
      <c r="J21" s="150"/>
      <c r="K21" s="150"/>
      <c r="L21" s="150"/>
      <c r="M21" s="150"/>
      <c r="N21" s="150"/>
      <c r="O21" s="138" t="str">
        <f>+INPUT!C23</f>
        <v>No</v>
      </c>
    </row>
    <row r="22" spans="1:57" x14ac:dyDescent="0.25">
      <c r="A22" s="150"/>
      <c r="B22" s="150"/>
      <c r="C22" s="150"/>
      <c r="D22" s="150"/>
      <c r="E22" s="150"/>
      <c r="F22" s="150"/>
      <c r="G22" s="150"/>
      <c r="H22" s="150"/>
      <c r="I22" s="150"/>
      <c r="J22" s="150"/>
      <c r="K22" s="150"/>
      <c r="L22" s="150"/>
      <c r="M22" s="150"/>
      <c r="N22" s="150"/>
      <c r="O22" s="150"/>
    </row>
    <row r="23" spans="1:57" x14ac:dyDescent="0.25">
      <c r="A23" s="150" t="s">
        <v>166</v>
      </c>
      <c r="B23" s="150" t="s">
        <v>168</v>
      </c>
      <c r="C23" s="150"/>
      <c r="D23" s="150"/>
      <c r="E23" s="150"/>
      <c r="F23" s="150"/>
      <c r="G23" s="150"/>
      <c r="H23" s="150"/>
      <c r="I23" s="150"/>
      <c r="J23" s="150"/>
      <c r="K23" s="150"/>
      <c r="L23" s="150"/>
      <c r="M23" s="150"/>
      <c r="N23" s="150"/>
      <c r="O23" s="150"/>
    </row>
    <row r="24" spans="1:57" x14ac:dyDescent="0.25">
      <c r="A24" s="150"/>
      <c r="B24" s="150"/>
      <c r="C24" s="150"/>
      <c r="D24" s="150"/>
      <c r="E24" s="310">
        <f>+INPUT!C26</f>
        <v>0</v>
      </c>
      <c r="F24" s="311"/>
      <c r="G24" s="311"/>
      <c r="H24" s="311"/>
      <c r="I24" s="311"/>
      <c r="J24" s="311"/>
      <c r="K24" s="311"/>
      <c r="L24" s="311"/>
      <c r="M24" s="311"/>
      <c r="N24" s="311"/>
      <c r="O24" s="312"/>
      <c r="BA24" s="182">
        <f>+E24</f>
        <v>0</v>
      </c>
    </row>
    <row r="25" spans="1:57" x14ac:dyDescent="0.25">
      <c r="A25" s="150"/>
      <c r="B25" s="150"/>
      <c r="C25" s="150"/>
      <c r="D25" s="150"/>
      <c r="E25" s="150"/>
      <c r="F25" s="150"/>
      <c r="G25" s="150"/>
      <c r="H25" s="150"/>
      <c r="I25" s="150"/>
      <c r="J25" s="150"/>
      <c r="K25" s="150"/>
      <c r="L25" s="150"/>
      <c r="M25" s="150"/>
      <c r="N25" s="150"/>
      <c r="O25" s="150"/>
    </row>
    <row r="26" spans="1:57" x14ac:dyDescent="0.25">
      <c r="A26" s="150" t="s">
        <v>158</v>
      </c>
      <c r="B26" s="150" t="s">
        <v>169</v>
      </c>
      <c r="C26" s="150"/>
      <c r="D26" s="150"/>
      <c r="E26" s="150"/>
      <c r="F26" s="150"/>
      <c r="G26" s="150"/>
      <c r="H26" s="150"/>
      <c r="I26" s="150"/>
      <c r="J26" s="150"/>
      <c r="K26" s="150"/>
      <c r="L26" s="150"/>
      <c r="M26" s="150"/>
      <c r="N26" s="150"/>
      <c r="O26" s="150"/>
    </row>
    <row r="27" spans="1:57" x14ac:dyDescent="0.25">
      <c r="A27" s="150"/>
      <c r="B27" s="150"/>
      <c r="C27" s="150"/>
      <c r="D27" s="150"/>
      <c r="E27" s="310">
        <f>+INPUT!C27</f>
        <v>0</v>
      </c>
      <c r="F27" s="311"/>
      <c r="G27" s="311"/>
      <c r="H27" s="311"/>
      <c r="I27" s="311"/>
      <c r="J27" s="311"/>
      <c r="K27" s="311"/>
      <c r="L27" s="311"/>
      <c r="M27" s="311"/>
      <c r="N27" s="311"/>
      <c r="O27" s="312"/>
      <c r="BA27" s="182">
        <f>+E27</f>
        <v>0</v>
      </c>
    </row>
    <row r="28" spans="1:57" x14ac:dyDescent="0.25">
      <c r="A28" s="150"/>
      <c r="B28" s="150"/>
      <c r="C28" s="150"/>
      <c r="D28" s="150"/>
      <c r="E28" s="150"/>
      <c r="F28" s="150"/>
      <c r="G28" s="150"/>
      <c r="H28" s="150"/>
      <c r="I28" s="150"/>
      <c r="J28" s="150"/>
      <c r="K28" s="150"/>
      <c r="L28" s="150"/>
      <c r="M28" s="150"/>
      <c r="N28" s="150"/>
      <c r="O28" s="150"/>
    </row>
    <row r="29" spans="1:57" x14ac:dyDescent="0.25">
      <c r="A29" s="150" t="s">
        <v>170</v>
      </c>
      <c r="B29" s="150" t="s">
        <v>171</v>
      </c>
      <c r="C29" s="150"/>
      <c r="D29" s="150"/>
      <c r="E29" s="150"/>
      <c r="F29" s="150"/>
      <c r="G29" s="150"/>
      <c r="H29" s="150"/>
      <c r="I29" s="150"/>
      <c r="J29" s="150"/>
      <c r="K29" s="150"/>
      <c r="L29" s="150"/>
      <c r="M29" s="150"/>
      <c r="N29" s="150"/>
      <c r="O29" s="150"/>
    </row>
    <row r="30" spans="1:57" x14ac:dyDescent="0.25">
      <c r="A30" s="150"/>
      <c r="B30" s="150"/>
      <c r="C30" s="150"/>
      <c r="D30" s="150"/>
      <c r="E30" s="325">
        <f>+INPUT!C28</f>
        <v>0</v>
      </c>
      <c r="F30" s="326"/>
      <c r="G30" s="326"/>
      <c r="H30" s="326"/>
      <c r="I30" s="326"/>
      <c r="J30" s="326"/>
      <c r="K30" s="326"/>
      <c r="L30" s="326"/>
      <c r="M30" s="326"/>
      <c r="N30" s="326"/>
      <c r="O30" s="327"/>
      <c r="BA30" s="182">
        <f>+E30</f>
        <v>0</v>
      </c>
    </row>
    <row r="31" spans="1:57" x14ac:dyDescent="0.25">
      <c r="A31" s="150"/>
      <c r="B31" s="150"/>
      <c r="C31" s="150"/>
      <c r="D31" s="150"/>
      <c r="E31" s="150"/>
      <c r="F31" s="150"/>
      <c r="G31" s="150"/>
      <c r="H31" s="150"/>
      <c r="I31" s="150"/>
      <c r="J31" s="150"/>
      <c r="K31" s="150"/>
      <c r="L31" s="150"/>
      <c r="M31" s="150"/>
      <c r="N31" s="150"/>
      <c r="O31" s="150"/>
    </row>
    <row r="32" spans="1:57" x14ac:dyDescent="0.25">
      <c r="A32" s="150" t="s">
        <v>172</v>
      </c>
      <c r="B32" s="150" t="s">
        <v>249</v>
      </c>
      <c r="C32" s="150"/>
      <c r="D32" s="150"/>
      <c r="E32" s="150"/>
      <c r="F32" s="150"/>
      <c r="G32" s="150"/>
      <c r="H32" s="150"/>
      <c r="I32" s="150"/>
      <c r="J32" s="150"/>
      <c r="K32" s="150"/>
      <c r="L32" s="150"/>
      <c r="M32" s="150"/>
      <c r="N32" s="150"/>
      <c r="O32" s="150"/>
    </row>
    <row r="33" spans="1:53" x14ac:dyDescent="0.25">
      <c r="A33" s="150"/>
      <c r="B33" s="150"/>
      <c r="C33" s="150"/>
      <c r="D33" s="150"/>
      <c r="E33" s="310">
        <f>+INPUT!C29</f>
        <v>0</v>
      </c>
      <c r="F33" s="311"/>
      <c r="G33" s="311"/>
      <c r="H33" s="311"/>
      <c r="I33" s="311"/>
      <c r="J33" s="311"/>
      <c r="K33" s="311"/>
      <c r="L33" s="311"/>
      <c r="M33" s="311"/>
      <c r="N33" s="311"/>
      <c r="O33" s="312"/>
      <c r="BA33" s="182">
        <f>+E33</f>
        <v>0</v>
      </c>
    </row>
    <row r="34" spans="1:53" x14ac:dyDescent="0.25">
      <c r="A34" s="150"/>
      <c r="B34" s="150"/>
      <c r="C34" s="150"/>
      <c r="D34" s="150"/>
      <c r="E34" s="140"/>
      <c r="F34" s="140"/>
      <c r="G34" s="140"/>
      <c r="H34" s="140"/>
      <c r="I34" s="140"/>
      <c r="J34" s="140"/>
      <c r="K34" s="140"/>
      <c r="L34" s="140"/>
      <c r="M34" s="140"/>
      <c r="N34" s="140"/>
      <c r="O34" s="140"/>
    </row>
    <row r="35" spans="1:53" x14ac:dyDescent="0.25">
      <c r="A35" s="150" t="s">
        <v>173</v>
      </c>
      <c r="B35" s="150" t="str">
        <f>+INPUT!B30</f>
        <v>Estremi degli atti che hanno regolato l'eventuale catalogo dell'offerta/albo dei fornitori</v>
      </c>
      <c r="C35" s="150"/>
      <c r="D35" s="150"/>
      <c r="E35" s="140"/>
      <c r="F35" s="140"/>
      <c r="G35" s="140"/>
      <c r="H35" s="140"/>
      <c r="I35" s="140"/>
      <c r="J35" s="140"/>
      <c r="K35" s="140"/>
      <c r="L35" s="140"/>
      <c r="M35" s="140"/>
      <c r="N35" s="140"/>
      <c r="O35" s="140"/>
    </row>
    <row r="36" spans="1:53" x14ac:dyDescent="0.25">
      <c r="A36" s="150"/>
      <c r="B36" s="150"/>
      <c r="C36" s="150"/>
      <c r="D36" s="150"/>
      <c r="E36" s="310">
        <f>+INPUT!C30</f>
        <v>0</v>
      </c>
      <c r="F36" s="311"/>
      <c r="G36" s="311"/>
      <c r="H36" s="311"/>
      <c r="I36" s="311"/>
      <c r="J36" s="311"/>
      <c r="K36" s="311"/>
      <c r="L36" s="311"/>
      <c r="M36" s="311"/>
      <c r="N36" s="311"/>
      <c r="O36" s="312"/>
      <c r="BA36" s="182">
        <f>+E36</f>
        <v>0</v>
      </c>
    </row>
    <row r="37" spans="1:53" x14ac:dyDescent="0.25">
      <c r="A37" s="150"/>
      <c r="B37" s="150"/>
      <c r="C37" s="150"/>
      <c r="D37" s="150"/>
      <c r="E37" s="140"/>
      <c r="F37" s="140"/>
      <c r="G37" s="140"/>
      <c r="H37" s="140"/>
      <c r="I37" s="140"/>
      <c r="J37" s="140"/>
      <c r="K37" s="140"/>
      <c r="L37" s="140"/>
      <c r="M37" s="140"/>
      <c r="N37" s="140"/>
      <c r="O37" s="140"/>
    </row>
    <row r="38" spans="1:53" x14ac:dyDescent="0.25">
      <c r="A38" s="150" t="s">
        <v>176</v>
      </c>
      <c r="B38" s="342" t="str">
        <f>+INPUT!B31</f>
        <v>Descrizione del funzionamento e della composizione dell'eventuale catalogo dell'offerta/albo dei fornitori (da allegare)</v>
      </c>
      <c r="C38" s="342"/>
      <c r="D38" s="342"/>
      <c r="E38" s="342"/>
      <c r="F38" s="342"/>
      <c r="G38" s="342"/>
      <c r="H38" s="342"/>
      <c r="I38" s="342"/>
      <c r="J38" s="342"/>
      <c r="K38" s="342"/>
      <c r="L38" s="342"/>
      <c r="M38" s="342"/>
      <c r="N38" s="342"/>
      <c r="O38" s="342"/>
    </row>
    <row r="39" spans="1:53" x14ac:dyDescent="0.25">
      <c r="A39" s="150"/>
      <c r="B39" s="150"/>
      <c r="C39" s="150"/>
      <c r="D39" s="150"/>
      <c r="E39" s="310">
        <f>+INPUT!C31</f>
        <v>0</v>
      </c>
      <c r="F39" s="311"/>
      <c r="G39" s="311"/>
      <c r="H39" s="311"/>
      <c r="I39" s="311"/>
      <c r="J39" s="311"/>
      <c r="K39" s="311"/>
      <c r="L39" s="311"/>
      <c r="M39" s="311"/>
      <c r="N39" s="311"/>
      <c r="O39" s="312"/>
      <c r="BA39" s="182">
        <f>+E39</f>
        <v>0</v>
      </c>
    </row>
    <row r="40" spans="1:53" x14ac:dyDescent="0.25">
      <c r="A40" s="150"/>
      <c r="B40" s="153"/>
      <c r="C40" s="153"/>
      <c r="D40" s="153"/>
      <c r="E40" s="153"/>
      <c r="F40" s="153"/>
      <c r="G40" s="153"/>
      <c r="H40" s="153"/>
      <c r="I40" s="153"/>
      <c r="J40" s="153"/>
      <c r="K40" s="153"/>
      <c r="L40" s="153"/>
      <c r="M40" s="153"/>
      <c r="N40" s="153"/>
      <c r="O40" s="153"/>
    </row>
    <row r="41" spans="1:53" x14ac:dyDescent="0.25">
      <c r="A41" s="150" t="s">
        <v>177</v>
      </c>
      <c r="B41" s="150" t="s">
        <v>198</v>
      </c>
      <c r="C41" s="150"/>
      <c r="D41" s="150"/>
      <c r="E41" s="150"/>
      <c r="F41" s="150"/>
      <c r="G41" s="328" t="str">
        <f>+INPUT!C32</f>
        <v>Unità Valutazione Multidimensionale Integrata (UVI/UVM)</v>
      </c>
      <c r="H41" s="329"/>
      <c r="I41" s="329"/>
      <c r="J41" s="329"/>
      <c r="K41" s="329"/>
      <c r="L41" s="329"/>
      <c r="M41" s="329"/>
      <c r="N41" s="329"/>
      <c r="O41" s="330"/>
    </row>
    <row r="42" spans="1:53" ht="90" x14ac:dyDescent="0.25">
      <c r="A42" s="150"/>
      <c r="B42" s="337" t="s">
        <v>212</v>
      </c>
      <c r="C42" s="337"/>
      <c r="D42" s="337"/>
      <c r="E42" s="310" t="str">
        <f>+INPUT!C33</f>
        <v>La presa in carico degli utenti avverrà attraverso la segnalazione del Distretto Sanitario che  invierà la richiesta di valutazione all'UVM integrata  dall'assistente sociale del distretto 27 per la redazione della SVAMA e successiva elaborazione del PAI , secondo quanto espressamente indicato nel Regolamento di gestione . Il regolamento ADI  approvato per il primo atto di  riparto e ancora vigente non prevede la compartecipazione al costo del servizio da parte dell'utenza.</v>
      </c>
      <c r="F42" s="311"/>
      <c r="G42" s="311"/>
      <c r="H42" s="311"/>
      <c r="I42" s="311"/>
      <c r="J42" s="311"/>
      <c r="K42" s="311"/>
      <c r="L42" s="311"/>
      <c r="M42" s="311"/>
      <c r="N42" s="311"/>
      <c r="O42" s="312"/>
      <c r="BA42" s="182" t="str">
        <f>+E42</f>
        <v>La presa in carico degli utenti avverrà attraverso la segnalazione del Distretto Sanitario che  invierà la richiesta di valutazione all'UVM integrata  dall'assistente sociale del distretto 27 per la redazione della SVAMA e successiva elaborazione del PAI , secondo quanto espressamente indicato nel Regolamento di gestione . Il regolamento ADI  approvato per il primo atto di  riparto e ancora vigente non prevede la compartecipazione al costo del servizio da parte dell'utenza.</v>
      </c>
    </row>
    <row r="43" spans="1:53" x14ac:dyDescent="0.25">
      <c r="A43" s="150"/>
      <c r="B43" s="153"/>
      <c r="C43" s="153"/>
      <c r="D43" s="153"/>
      <c r="E43" s="153"/>
      <c r="F43" s="153"/>
      <c r="G43" s="153"/>
      <c r="H43" s="153"/>
      <c r="I43" s="153"/>
      <c r="J43" s="153"/>
      <c r="K43" s="153"/>
      <c r="L43" s="153"/>
      <c r="M43" s="153"/>
      <c r="N43" s="153"/>
      <c r="O43" s="153"/>
    </row>
    <row r="44" spans="1:53" x14ac:dyDescent="0.25">
      <c r="A44" s="150" t="s">
        <v>199</v>
      </c>
      <c r="B44" s="150" t="s">
        <v>174</v>
      </c>
      <c r="C44" s="150"/>
      <c r="D44" s="150"/>
      <c r="E44" s="335">
        <f>+INPUT!C83</f>
        <v>17136</v>
      </c>
      <c r="F44" s="336"/>
      <c r="G44" s="154"/>
      <c r="H44" s="150"/>
      <c r="I44" s="150"/>
      <c r="J44" s="150"/>
      <c r="K44" s="150"/>
      <c r="L44" s="150"/>
      <c r="M44" s="150"/>
      <c r="N44" s="150"/>
      <c r="O44" s="150"/>
    </row>
    <row r="45" spans="1:53" x14ac:dyDescent="0.25">
      <c r="A45" s="150"/>
      <c r="B45" s="150" t="s">
        <v>20</v>
      </c>
      <c r="C45" s="150"/>
      <c r="D45" s="150"/>
      <c r="E45" s="150"/>
      <c r="F45" s="150"/>
      <c r="G45" s="150"/>
      <c r="H45" s="150"/>
      <c r="I45" s="155"/>
      <c r="J45" s="324" t="s">
        <v>187</v>
      </c>
      <c r="K45" s="324"/>
      <c r="L45" s="324" t="s">
        <v>188</v>
      </c>
      <c r="M45" s="324"/>
      <c r="N45" s="324"/>
      <c r="O45" s="150"/>
    </row>
    <row r="46" spans="1:53" x14ac:dyDescent="0.25">
      <c r="A46" s="150"/>
      <c r="B46" s="150"/>
      <c r="C46" s="150">
        <v>2015</v>
      </c>
      <c r="D46" s="150"/>
      <c r="E46" s="150"/>
      <c r="F46" s="187">
        <f>+INPUT!C68+INPUT!D68</f>
        <v>0</v>
      </c>
      <c r="G46" s="156"/>
      <c r="H46" s="150"/>
      <c r="I46" s="155" t="s">
        <v>20</v>
      </c>
      <c r="J46" s="299">
        <f>+INPUT!C70+INPUT!D70</f>
        <v>0</v>
      </c>
      <c r="K46" s="299"/>
      <c r="L46" s="299">
        <f>+INPUT!C71+INPUT!D71</f>
        <v>0</v>
      </c>
      <c r="M46" s="299"/>
      <c r="N46" s="299"/>
      <c r="O46" s="150"/>
    </row>
    <row r="47" spans="1:53" x14ac:dyDescent="0.25">
      <c r="A47" s="150"/>
      <c r="B47" s="150"/>
      <c r="C47" s="150">
        <v>2016</v>
      </c>
      <c r="D47" s="150"/>
      <c r="E47" s="150"/>
      <c r="F47" s="187">
        <f>+INPUT!E68+INPUT!F68</f>
        <v>0</v>
      </c>
      <c r="G47" s="156"/>
      <c r="H47" s="150"/>
      <c r="I47" s="155" t="s">
        <v>20</v>
      </c>
      <c r="J47" s="299">
        <f>+INPUT!E70+INPUT!F70</f>
        <v>0</v>
      </c>
      <c r="K47" s="299"/>
      <c r="L47" s="299">
        <f>+INPUT!E71+INPUT!F71</f>
        <v>0</v>
      </c>
      <c r="M47" s="299"/>
      <c r="N47" s="299"/>
      <c r="O47" s="150"/>
    </row>
    <row r="48" spans="1:53" x14ac:dyDescent="0.25">
      <c r="A48" s="150"/>
      <c r="B48" s="150"/>
      <c r="C48" s="150">
        <v>2017</v>
      </c>
      <c r="D48" s="150"/>
      <c r="E48" s="150"/>
      <c r="F48" s="187">
        <f>+INPUT!G68+INPUT!H68</f>
        <v>0</v>
      </c>
      <c r="G48" s="156"/>
      <c r="H48" s="150"/>
      <c r="I48" s="155" t="s">
        <v>20</v>
      </c>
      <c r="J48" s="299">
        <f>+INPUT!G70+INPUT!H70</f>
        <v>0</v>
      </c>
      <c r="K48" s="299"/>
      <c r="L48" s="299">
        <f>+INPUT!G71+INPUT!H71</f>
        <v>0</v>
      </c>
      <c r="M48" s="299"/>
      <c r="N48" s="299"/>
      <c r="O48" s="150"/>
    </row>
    <row r="49" spans="1:15" x14ac:dyDescent="0.25">
      <c r="A49" s="150"/>
      <c r="B49" s="150"/>
      <c r="C49" s="150">
        <v>2018</v>
      </c>
      <c r="D49" s="150"/>
      <c r="E49" s="150"/>
      <c r="F49" s="187">
        <f>+INPUT!I68+INPUT!J68</f>
        <v>0</v>
      </c>
      <c r="G49" s="156"/>
      <c r="H49" s="150"/>
      <c r="I49" s="155" t="s">
        <v>20</v>
      </c>
      <c r="J49" s="299">
        <f>+INPUT!I70+INPUT!J70</f>
        <v>0</v>
      </c>
      <c r="K49" s="299"/>
      <c r="L49" s="299">
        <f>+INPUT!I71+INPUT!J71</f>
        <v>0</v>
      </c>
      <c r="M49" s="299"/>
      <c r="N49" s="299"/>
      <c r="O49" s="150"/>
    </row>
    <row r="50" spans="1:15" x14ac:dyDescent="0.25">
      <c r="A50" s="150"/>
      <c r="B50" s="150"/>
      <c r="C50" s="150">
        <v>2019</v>
      </c>
      <c r="D50" s="150"/>
      <c r="E50" s="150"/>
      <c r="F50" s="187">
        <f>+INPUT!K68+INPUT!L68</f>
        <v>0</v>
      </c>
      <c r="G50" s="156"/>
      <c r="H50" s="150"/>
      <c r="I50" s="155" t="s">
        <v>20</v>
      </c>
      <c r="J50" s="299">
        <f>+INPUT!K70+INPUT!L70</f>
        <v>0</v>
      </c>
      <c r="K50" s="299"/>
      <c r="L50" s="299">
        <f>+INPUT!K71+INPUT!L71</f>
        <v>0</v>
      </c>
      <c r="M50" s="299"/>
      <c r="N50" s="299"/>
      <c r="O50" s="150"/>
    </row>
    <row r="51" spans="1:15" x14ac:dyDescent="0.25">
      <c r="A51" s="150"/>
      <c r="B51" s="150"/>
      <c r="C51" s="150">
        <v>2020</v>
      </c>
      <c r="D51" s="150"/>
      <c r="E51" s="150"/>
      <c r="F51" s="187">
        <f>+INPUT!M68+INPUT!N68</f>
        <v>0</v>
      </c>
      <c r="G51" s="156"/>
      <c r="H51" s="150"/>
      <c r="I51" s="155" t="s">
        <v>20</v>
      </c>
      <c r="J51" s="299">
        <f>+INPUT!M70+INPUT!N70</f>
        <v>0</v>
      </c>
      <c r="K51" s="299"/>
      <c r="L51" s="299">
        <f>+INPUT!M71+INPUT!N71</f>
        <v>0</v>
      </c>
      <c r="M51" s="299"/>
      <c r="N51" s="299"/>
      <c r="O51" s="150"/>
    </row>
    <row r="52" spans="1:15" x14ac:dyDescent="0.25">
      <c r="A52" s="150"/>
      <c r="B52" s="150"/>
      <c r="C52" s="150">
        <v>2021</v>
      </c>
      <c r="D52" s="150"/>
      <c r="E52" s="150"/>
      <c r="F52" s="187">
        <f>INPUT!O68+INPUT!P68</f>
        <v>4896</v>
      </c>
      <c r="G52" s="156"/>
      <c r="H52" s="150"/>
      <c r="I52" s="155" t="s">
        <v>20</v>
      </c>
      <c r="J52" s="299">
        <f>+INPUT!O70+INPUT!P70</f>
        <v>4896</v>
      </c>
      <c r="K52" s="299"/>
      <c r="L52" s="299">
        <f>+INPUT!O71+INPUT!P71</f>
        <v>0</v>
      </c>
      <c r="M52" s="299"/>
      <c r="N52" s="299"/>
      <c r="O52" s="150"/>
    </row>
    <row r="53" spans="1:15" x14ac:dyDescent="0.25">
      <c r="A53" s="150"/>
      <c r="B53" s="150"/>
      <c r="C53" s="150">
        <v>2022</v>
      </c>
      <c r="D53" s="150"/>
      <c r="E53" s="150"/>
      <c r="F53" s="187">
        <f>INPUT!Q68</f>
        <v>12240</v>
      </c>
      <c r="G53" s="156"/>
      <c r="H53" s="150"/>
      <c r="I53" s="155" t="s">
        <v>20</v>
      </c>
      <c r="J53" s="299">
        <f>+INPUT!Q70</f>
        <v>12240</v>
      </c>
      <c r="K53" s="299"/>
      <c r="L53" s="299">
        <f>+INPUT!Q71</f>
        <v>0</v>
      </c>
      <c r="M53" s="299"/>
      <c r="N53" s="299"/>
      <c r="O53" s="150"/>
    </row>
    <row r="54" spans="1:15" x14ac:dyDescent="0.25">
      <c r="A54" s="150"/>
      <c r="B54" s="150"/>
      <c r="C54" s="150"/>
      <c r="D54" s="150"/>
      <c r="E54" s="150"/>
      <c r="F54" s="150"/>
      <c r="G54" s="150"/>
      <c r="H54" s="150"/>
      <c r="I54" s="150"/>
      <c r="J54" s="150"/>
      <c r="K54" s="150"/>
      <c r="L54" s="150"/>
      <c r="M54" s="150"/>
      <c r="N54" s="150"/>
      <c r="O54" s="150"/>
    </row>
    <row r="55" spans="1:15" x14ac:dyDescent="0.25">
      <c r="A55" s="150" t="s">
        <v>263</v>
      </c>
      <c r="B55" s="165" t="s">
        <v>255</v>
      </c>
      <c r="C55" s="150"/>
      <c r="D55" s="150"/>
      <c r="E55" s="150"/>
      <c r="F55" s="150"/>
      <c r="G55" s="150"/>
      <c r="H55" s="150"/>
      <c r="I55" s="150"/>
      <c r="J55" s="324" t="s">
        <v>185</v>
      </c>
      <c r="K55" s="324"/>
      <c r="L55" s="324" t="s">
        <v>186</v>
      </c>
      <c r="M55" s="324"/>
      <c r="N55" s="324"/>
      <c r="O55" s="150"/>
    </row>
    <row r="56" spans="1:15" x14ac:dyDescent="0.25">
      <c r="A56" s="150"/>
      <c r="B56" s="150"/>
      <c r="C56" s="150">
        <v>2015</v>
      </c>
      <c r="D56" s="150"/>
      <c r="E56" s="150"/>
      <c r="F56" s="157">
        <f>+INPUT!C77/12*INPUT!C63+INPUT!D77/12*INPUT!D63</f>
        <v>0</v>
      </c>
      <c r="G56" s="158"/>
      <c r="H56" s="150"/>
      <c r="I56" s="155" t="s">
        <v>20</v>
      </c>
      <c r="J56" s="292">
        <f>+INPUT!C79/12*INPUT!C64+INPUT!D79/12*INPUT!D64</f>
        <v>0</v>
      </c>
      <c r="K56" s="292"/>
      <c r="L56" s="292">
        <f>+INPUT!C80/12*INPUT!C65+INPUT!D80/12*INPUT!D65</f>
        <v>0</v>
      </c>
      <c r="M56" s="292"/>
      <c r="N56" s="292"/>
      <c r="O56" s="150"/>
    </row>
    <row r="57" spans="1:15" x14ac:dyDescent="0.25">
      <c r="A57" s="150"/>
      <c r="B57" s="150"/>
      <c r="C57" s="150">
        <v>2016</v>
      </c>
      <c r="D57" s="150"/>
      <c r="E57" s="150"/>
      <c r="F57" s="157">
        <f>+INPUT!E77/12*INPUT!E63+INPUT!F77/12*INPUT!F63</f>
        <v>0</v>
      </c>
      <c r="G57" s="158"/>
      <c r="H57" s="150"/>
      <c r="I57" s="155" t="s">
        <v>20</v>
      </c>
      <c r="J57" s="292">
        <f>+INPUT!E79/12*INPUT!E64+INPUT!F79/12*INPUT!F64</f>
        <v>0</v>
      </c>
      <c r="K57" s="292"/>
      <c r="L57" s="292">
        <f>+INPUT!E80/12*INPUT!E65+INPUT!F80/12*INPUT!F65</f>
        <v>0</v>
      </c>
      <c r="M57" s="292"/>
      <c r="N57" s="292"/>
      <c r="O57" s="150"/>
    </row>
    <row r="58" spans="1:15" x14ac:dyDescent="0.25">
      <c r="A58" s="150"/>
      <c r="B58" s="150"/>
      <c r="C58" s="150">
        <v>2017</v>
      </c>
      <c r="D58" s="150"/>
      <c r="E58" s="150"/>
      <c r="F58" s="157">
        <f>+INPUT!G77/12*INPUT!G63+INPUT!H77/12*INPUT!H63</f>
        <v>0</v>
      </c>
      <c r="G58" s="158"/>
      <c r="H58" s="150"/>
      <c r="I58" s="155" t="s">
        <v>20</v>
      </c>
      <c r="J58" s="292">
        <f>+INPUT!G79/12*INPUT!G64+INPUT!H79/12*INPUT!H64</f>
        <v>0</v>
      </c>
      <c r="K58" s="292"/>
      <c r="L58" s="292">
        <f>+INPUT!G80/12*INPUT!G65+INPUT!H80/12*INPUT!H65</f>
        <v>0</v>
      </c>
      <c r="M58" s="292"/>
      <c r="N58" s="292"/>
      <c r="O58" s="150"/>
    </row>
    <row r="59" spans="1:15" x14ac:dyDescent="0.25">
      <c r="A59" s="150"/>
      <c r="B59" s="150"/>
      <c r="C59" s="150">
        <v>2018</v>
      </c>
      <c r="D59" s="150"/>
      <c r="E59" s="150"/>
      <c r="F59" s="157">
        <f>+INPUT!I77/12*INPUT!I63+INPUT!J77/12*INPUT!J63</f>
        <v>0</v>
      </c>
      <c r="G59" s="158"/>
      <c r="H59" s="150"/>
      <c r="I59" s="155" t="s">
        <v>20</v>
      </c>
      <c r="J59" s="292">
        <f>+INPUT!I79/12*INPUT!I64+INPUT!J79/12*INPUT!J64</f>
        <v>0</v>
      </c>
      <c r="K59" s="292"/>
      <c r="L59" s="292">
        <f>+INPUT!I80/12*INPUT!I65+INPUT!J80/12*INPUT!J65</f>
        <v>0</v>
      </c>
      <c r="M59" s="292"/>
      <c r="N59" s="292"/>
      <c r="O59" s="150"/>
    </row>
    <row r="60" spans="1:15" x14ac:dyDescent="0.25">
      <c r="A60" s="150"/>
      <c r="B60" s="150"/>
      <c r="C60" s="150">
        <v>2019</v>
      </c>
      <c r="D60" s="150"/>
      <c r="E60" s="150"/>
      <c r="F60" s="157">
        <f>+INPUT!K77/12*INPUT!K63+INPUT!L77/12*INPUT!L63</f>
        <v>0</v>
      </c>
      <c r="G60" s="158"/>
      <c r="H60" s="150"/>
      <c r="I60" s="155" t="s">
        <v>20</v>
      </c>
      <c r="J60" s="292">
        <f>+INPUT!K79/12*INPUT!K64+INPUT!L79/12*INPUT!L64</f>
        <v>0</v>
      </c>
      <c r="K60" s="292"/>
      <c r="L60" s="292">
        <f>+INPUT!K80/12*INPUT!K65+INPUT!L80/12*INPUT!L65</f>
        <v>0</v>
      </c>
      <c r="M60" s="292"/>
      <c r="N60" s="292"/>
      <c r="O60" s="150"/>
    </row>
    <row r="61" spans="1:15" x14ac:dyDescent="0.25">
      <c r="A61" s="150"/>
      <c r="B61" s="150"/>
      <c r="C61" s="150">
        <v>2020</v>
      </c>
      <c r="D61" s="150"/>
      <c r="E61" s="150"/>
      <c r="F61" s="157">
        <f>+INPUT!M77/12*INPUT!M63+INPUT!N77/12*INPUT!N63</f>
        <v>0</v>
      </c>
      <c r="G61" s="158"/>
      <c r="H61" s="150"/>
      <c r="I61" s="155" t="s">
        <v>20</v>
      </c>
      <c r="J61" s="292">
        <f>+INPUT!M79/12*INPUT!M64+INPUT!N79/12*INPUT!N64</f>
        <v>0</v>
      </c>
      <c r="K61" s="292"/>
      <c r="L61" s="292">
        <f>+INPUT!M80/12*INPUT!M65+INPUT!N80/12*INPUT!N65</f>
        <v>0</v>
      </c>
      <c r="M61" s="292"/>
      <c r="N61" s="292"/>
      <c r="O61" s="150"/>
    </row>
    <row r="62" spans="1:15" x14ac:dyDescent="0.25">
      <c r="A62" s="150"/>
      <c r="B62" s="150"/>
      <c r="C62" s="150">
        <v>2021</v>
      </c>
      <c r="D62" s="150"/>
      <c r="E62" s="150"/>
      <c r="F62" s="157">
        <f>+INPUT!O77/12*INPUT!O63+INPUT!P77/12*INPUT!P63</f>
        <v>17</v>
      </c>
      <c r="G62" s="158"/>
      <c r="H62" s="150"/>
      <c r="I62" s="155" t="s">
        <v>20</v>
      </c>
      <c r="J62" s="292">
        <f>+INPUT!O79/12*INPUT!O64+INPUT!P79/12*INPUT!P64</f>
        <v>17</v>
      </c>
      <c r="K62" s="292"/>
      <c r="L62" s="292">
        <f>+INPUT!O80/12*INPUT!O65+INPUT!P80/12*INPUT!P65</f>
        <v>0</v>
      </c>
      <c r="M62" s="292"/>
      <c r="N62" s="292"/>
      <c r="O62" s="150"/>
    </row>
    <row r="63" spans="1:15" x14ac:dyDescent="0.25">
      <c r="A63" s="150"/>
      <c r="B63" s="150"/>
      <c r="C63" s="150">
        <v>2022</v>
      </c>
      <c r="D63" s="150"/>
      <c r="E63" s="150"/>
      <c r="F63" s="157">
        <f>+INPUT!Q77/12*INPUT!Q63</f>
        <v>42.5</v>
      </c>
      <c r="G63" s="158"/>
      <c r="H63" s="150"/>
      <c r="I63" s="155" t="s">
        <v>20</v>
      </c>
      <c r="J63" s="292">
        <f>+INPUT!Q79/12*INPUT!Q64</f>
        <v>42.5</v>
      </c>
      <c r="K63" s="292"/>
      <c r="L63" s="292">
        <f>+INPUT!Q80/12*INPUT!Q65</f>
        <v>0</v>
      </c>
      <c r="M63" s="292"/>
      <c r="N63" s="292"/>
      <c r="O63" s="150"/>
    </row>
    <row r="64" spans="1:15" x14ac:dyDescent="0.25">
      <c r="A64" s="150"/>
      <c r="B64" s="150"/>
      <c r="C64" s="150"/>
      <c r="D64" s="150"/>
      <c r="E64" s="150"/>
      <c r="F64" s="150"/>
      <c r="G64" s="150"/>
      <c r="H64" s="150"/>
      <c r="I64" s="150"/>
      <c r="J64" s="150"/>
      <c r="K64" s="150"/>
      <c r="L64" s="150"/>
      <c r="M64" s="150"/>
      <c r="N64" s="150"/>
      <c r="O64" s="150"/>
    </row>
    <row r="65" spans="1:57" x14ac:dyDescent="0.25">
      <c r="A65" s="150" t="s">
        <v>264</v>
      </c>
      <c r="B65" s="165" t="s">
        <v>258</v>
      </c>
      <c r="C65" s="150"/>
      <c r="D65" s="150"/>
      <c r="E65" s="150"/>
      <c r="F65" s="150"/>
      <c r="G65" s="150"/>
      <c r="H65" s="150"/>
      <c r="I65" s="155"/>
      <c r="J65" s="324" t="s">
        <v>187</v>
      </c>
      <c r="K65" s="324"/>
      <c r="L65" s="324" t="s">
        <v>188</v>
      </c>
      <c r="M65" s="324"/>
      <c r="N65" s="324"/>
      <c r="O65" s="150"/>
    </row>
    <row r="66" spans="1:57" x14ac:dyDescent="0.25">
      <c r="A66" s="150"/>
      <c r="B66" s="150"/>
      <c r="C66" s="150">
        <v>2015</v>
      </c>
      <c r="D66" s="150"/>
      <c r="E66" s="150"/>
      <c r="F66" s="138">
        <f t="shared" ref="F66:F73" si="1">+IF(ISERROR(F46/F56),0,F46/F56)</f>
        <v>0</v>
      </c>
      <c r="G66" s="156"/>
      <c r="H66" s="150"/>
      <c r="I66" s="155" t="s">
        <v>20</v>
      </c>
      <c r="J66" s="292">
        <f t="shared" ref="J66:J73" si="2">+IF(ISERROR(J46/J56),0,J46/J56)</f>
        <v>0</v>
      </c>
      <c r="K66" s="292"/>
      <c r="L66" s="292">
        <f t="shared" ref="L66:L73" si="3">+IF(ISERROR(L46/L56),0,L46/L56)</f>
        <v>0</v>
      </c>
      <c r="M66" s="292"/>
      <c r="N66" s="292"/>
      <c r="O66" s="150"/>
    </row>
    <row r="67" spans="1:57" x14ac:dyDescent="0.25">
      <c r="A67" s="150"/>
      <c r="B67" s="150"/>
      <c r="C67" s="150">
        <v>2016</v>
      </c>
      <c r="D67" s="150"/>
      <c r="E67" s="150"/>
      <c r="F67" s="138">
        <f t="shared" si="1"/>
        <v>0</v>
      </c>
      <c r="G67" s="156"/>
      <c r="H67" s="150"/>
      <c r="I67" s="155" t="s">
        <v>20</v>
      </c>
      <c r="J67" s="292">
        <f t="shared" si="2"/>
        <v>0</v>
      </c>
      <c r="K67" s="292"/>
      <c r="L67" s="292">
        <f t="shared" si="3"/>
        <v>0</v>
      </c>
      <c r="M67" s="292"/>
      <c r="N67" s="292"/>
      <c r="O67" s="150"/>
    </row>
    <row r="68" spans="1:57" x14ac:dyDescent="0.25">
      <c r="A68" s="150"/>
      <c r="B68" s="150"/>
      <c r="C68" s="150">
        <v>2017</v>
      </c>
      <c r="D68" s="150"/>
      <c r="E68" s="150"/>
      <c r="F68" s="138">
        <f t="shared" si="1"/>
        <v>0</v>
      </c>
      <c r="G68" s="156"/>
      <c r="H68" s="150"/>
      <c r="I68" s="155" t="s">
        <v>20</v>
      </c>
      <c r="J68" s="292">
        <f t="shared" si="2"/>
        <v>0</v>
      </c>
      <c r="K68" s="292"/>
      <c r="L68" s="292">
        <f t="shared" si="3"/>
        <v>0</v>
      </c>
      <c r="M68" s="292"/>
      <c r="N68" s="292"/>
      <c r="O68" s="150"/>
    </row>
    <row r="69" spans="1:57" x14ac:dyDescent="0.25">
      <c r="A69" s="150"/>
      <c r="B69" s="150"/>
      <c r="C69" s="150">
        <v>2018</v>
      </c>
      <c r="D69" s="150"/>
      <c r="E69" s="150"/>
      <c r="F69" s="138">
        <f t="shared" si="1"/>
        <v>0</v>
      </c>
      <c r="G69" s="156"/>
      <c r="H69" s="150"/>
      <c r="I69" s="155" t="s">
        <v>20</v>
      </c>
      <c r="J69" s="292">
        <f t="shared" si="2"/>
        <v>0</v>
      </c>
      <c r="K69" s="292"/>
      <c r="L69" s="292">
        <f t="shared" si="3"/>
        <v>0</v>
      </c>
      <c r="M69" s="292"/>
      <c r="N69" s="292"/>
      <c r="O69" s="150"/>
    </row>
    <row r="70" spans="1:57" x14ac:dyDescent="0.25">
      <c r="A70" s="150"/>
      <c r="B70" s="150"/>
      <c r="C70" s="150">
        <v>2019</v>
      </c>
      <c r="D70" s="150"/>
      <c r="E70" s="150"/>
      <c r="F70" s="138">
        <f t="shared" si="1"/>
        <v>0</v>
      </c>
      <c r="G70" s="156"/>
      <c r="H70" s="150"/>
      <c r="I70" s="155" t="s">
        <v>20</v>
      </c>
      <c r="J70" s="292">
        <f t="shared" si="2"/>
        <v>0</v>
      </c>
      <c r="K70" s="292"/>
      <c r="L70" s="292">
        <f t="shared" si="3"/>
        <v>0</v>
      </c>
      <c r="M70" s="292"/>
      <c r="N70" s="292"/>
      <c r="O70" s="150"/>
    </row>
    <row r="71" spans="1:57" x14ac:dyDescent="0.25">
      <c r="A71" s="150"/>
      <c r="B71" s="150"/>
      <c r="C71" s="150">
        <v>2020</v>
      </c>
      <c r="D71" s="150"/>
      <c r="E71" s="150"/>
      <c r="F71" s="138">
        <f t="shared" si="1"/>
        <v>0</v>
      </c>
      <c r="G71" s="156"/>
      <c r="H71" s="150"/>
      <c r="I71" s="155" t="s">
        <v>20</v>
      </c>
      <c r="J71" s="292">
        <f t="shared" si="2"/>
        <v>0</v>
      </c>
      <c r="K71" s="292"/>
      <c r="L71" s="292">
        <f t="shared" si="3"/>
        <v>0</v>
      </c>
      <c r="M71" s="292"/>
      <c r="N71" s="292"/>
      <c r="O71" s="150"/>
    </row>
    <row r="72" spans="1:57" x14ac:dyDescent="0.25">
      <c r="A72" s="150"/>
      <c r="B72" s="150"/>
      <c r="C72" s="150">
        <v>2021</v>
      </c>
      <c r="D72" s="150"/>
      <c r="E72" s="150"/>
      <c r="F72" s="138">
        <f t="shared" si="1"/>
        <v>288</v>
      </c>
      <c r="G72" s="156"/>
      <c r="H72" s="150"/>
      <c r="I72" s="155" t="s">
        <v>20</v>
      </c>
      <c r="J72" s="292">
        <f t="shared" si="2"/>
        <v>288</v>
      </c>
      <c r="K72" s="292"/>
      <c r="L72" s="292">
        <f t="shared" si="3"/>
        <v>0</v>
      </c>
      <c r="M72" s="292"/>
      <c r="N72" s="292"/>
      <c r="O72" s="150"/>
    </row>
    <row r="73" spans="1:57" x14ac:dyDescent="0.25">
      <c r="A73" s="150"/>
      <c r="B73" s="150"/>
      <c r="C73" s="150">
        <v>2022</v>
      </c>
      <c r="D73" s="150"/>
      <c r="E73" s="150"/>
      <c r="F73" s="138">
        <f t="shared" si="1"/>
        <v>288</v>
      </c>
      <c r="G73" s="156"/>
      <c r="H73" s="150"/>
      <c r="I73" s="155" t="s">
        <v>20</v>
      </c>
      <c r="J73" s="292">
        <f t="shared" si="2"/>
        <v>288</v>
      </c>
      <c r="K73" s="292"/>
      <c r="L73" s="292">
        <f t="shared" si="3"/>
        <v>0</v>
      </c>
      <c r="M73" s="292"/>
      <c r="N73" s="292"/>
      <c r="O73" s="150"/>
    </row>
    <row r="74" spans="1:57" x14ac:dyDescent="0.25">
      <c r="A74" s="150"/>
      <c r="B74" s="150"/>
      <c r="C74" s="150"/>
      <c r="D74" s="150"/>
      <c r="E74" s="150"/>
      <c r="F74" s="150"/>
      <c r="G74" s="150"/>
      <c r="H74" s="150"/>
      <c r="I74" s="150"/>
      <c r="J74" s="150"/>
      <c r="K74" s="150"/>
      <c r="L74" s="150"/>
      <c r="M74" s="150"/>
      <c r="N74" s="150"/>
      <c r="O74" s="150"/>
    </row>
    <row r="75" spans="1:57" x14ac:dyDescent="0.25">
      <c r="A75" s="318" t="s">
        <v>178</v>
      </c>
      <c r="B75" s="319"/>
      <c r="C75" s="319"/>
      <c r="D75" s="319"/>
      <c r="E75" s="319"/>
      <c r="F75" s="319"/>
      <c r="G75" s="319"/>
      <c r="H75" s="319"/>
      <c r="I75" s="319"/>
      <c r="J75" s="319"/>
      <c r="K75" s="319"/>
      <c r="L75" s="319"/>
      <c r="M75" s="319"/>
      <c r="N75" s="319"/>
      <c r="O75" s="320"/>
    </row>
    <row r="76" spans="1:57" x14ac:dyDescent="0.25">
      <c r="A76" s="159" t="s">
        <v>150</v>
      </c>
      <c r="B76" s="160" t="s">
        <v>235</v>
      </c>
      <c r="C76" s="160"/>
      <c r="D76" s="160"/>
      <c r="E76" s="160"/>
      <c r="F76" s="160"/>
      <c r="G76" s="143"/>
      <c r="H76" s="355" t="s">
        <v>179</v>
      </c>
      <c r="I76" s="303"/>
      <c r="J76" s="303"/>
      <c r="K76" s="304"/>
      <c r="L76" s="303" t="s">
        <v>24</v>
      </c>
      <c r="M76" s="303"/>
      <c r="N76" s="303"/>
      <c r="O76" s="304"/>
    </row>
    <row r="77" spans="1:57" s="123" customFormat="1" x14ac:dyDescent="0.25">
      <c r="A77" s="161"/>
      <c r="B77" s="310" t="str">
        <f>+IF(ISERROR(INDEX(INPUT!$T$120:$T$126,MATCH(2,INPUT!$R$120:$R$126,0))),"",INDEX(INPUT!$T$120:$T$126,MATCH(2,INPUT!$R$120:$R$126,0)))</f>
        <v>Coordinatore - CCNL Cooperative -D2 -20,22 €/ora</v>
      </c>
      <c r="C77" s="311"/>
      <c r="D77" s="311"/>
      <c r="E77" s="311"/>
      <c r="F77" s="311"/>
      <c r="G77" s="312"/>
      <c r="H77" s="300">
        <f>+IF(ISERROR(INDEX(INPUT!$G$120:$G$126,MATCH(2,INPUT!$R$120:$R$126,0))),"",INDEX(INPUT!$G$120:$G$126,MATCH(2,INPUT!$R$120:$R$126,0)))</f>
        <v>1028.1600000000001</v>
      </c>
      <c r="I77" s="301"/>
      <c r="J77" s="301"/>
      <c r="K77" s="302"/>
      <c r="L77" s="305">
        <f>+IF(ISERROR(INDEX(INPUT!$H$120:$H$126,MATCH(2,INPUT!$R$120:$R$126,0))),"",INDEX(INPUT!$H$120:$H$126,MATCH(2,INPUT!$R$120:$R$126,0)))</f>
        <v>20789.400000000001</v>
      </c>
      <c r="M77" s="306"/>
      <c r="N77" s="306"/>
      <c r="O77" s="307"/>
      <c r="AX77" s="137">
        <v>2</v>
      </c>
      <c r="AY77" s="136" t="str">
        <f>+IF(ISERROR(INDEX(INPUT!$U$120:$U$126,MATCH(AX77,INPUT!$R$120:$R$126,0))),"",INDEX(INPUT!$U$120:$U$126,MATCH(AX77,INPUT!$R$120:$R$126,0)))</f>
        <v>ore</v>
      </c>
      <c r="BA77" s="137"/>
      <c r="BC77" s="137" t="str">
        <f t="shared" ref="BC77:BC82" si="4">+B77</f>
        <v>Coordinatore - CCNL Cooperative -D2 -20,22 €/ora</v>
      </c>
      <c r="BE77" s="137"/>
    </row>
    <row r="78" spans="1:57" s="123" customFormat="1" x14ac:dyDescent="0.25">
      <c r="A78" s="161"/>
      <c r="B78" s="310" t="str">
        <f>+IF(ISERROR(INDEX(INPUT!$T$120:$T$126,MATCH(3,INPUT!$R$120:$R$126,0))),"",INDEX(INPUT!$T$120:$T$126,MATCH(3,INPUT!$R$120:$R$126,0)))</f>
        <v>Personale OSS - CCNL Cooperative -C2 -18,57 €/ora</v>
      </c>
      <c r="C78" s="311"/>
      <c r="D78" s="311"/>
      <c r="E78" s="311"/>
      <c r="F78" s="311"/>
      <c r="G78" s="312"/>
      <c r="H78" s="300">
        <f>+IF(ISERROR(INDEX(INPUT!$G$120:$G$126,MATCH(3,INPUT!$R$120:$R$126,0))),"",INDEX(INPUT!$G$120:$G$126,MATCH(3,INPUT!$R$120:$R$126,0)))</f>
        <v>13708.800000000001</v>
      </c>
      <c r="I78" s="301"/>
      <c r="J78" s="301"/>
      <c r="K78" s="302"/>
      <c r="L78" s="305">
        <f>+IF(ISERROR(INDEX(INPUT!$H$120:$H$126,MATCH(3,INPUT!$R$120:$R$126,0))),"",INDEX(INPUT!$H$120:$H$126,MATCH(3,INPUT!$R$120:$R$126,0)))</f>
        <v>254572.42</v>
      </c>
      <c r="M78" s="306"/>
      <c r="N78" s="306"/>
      <c r="O78" s="307"/>
      <c r="AX78" s="137">
        <v>3</v>
      </c>
      <c r="AY78" s="136" t="str">
        <f>+IF(ISERROR(INDEX(INPUT!$U$120:$U$126,MATCH(AX78,INPUT!$R$120:$R$126,0))),"",INDEX(INPUT!$U$120:$U$126,MATCH(AX78,INPUT!$R$120:$R$126,0)))</f>
        <v>ore</v>
      </c>
      <c r="BA78" s="137"/>
      <c r="BC78" s="137" t="str">
        <f t="shared" si="4"/>
        <v>Personale OSS - CCNL Cooperative -C2 -18,57 €/ora</v>
      </c>
      <c r="BE78" s="137"/>
    </row>
    <row r="79" spans="1:57" s="123" customFormat="1" ht="45" x14ac:dyDescent="0.25">
      <c r="A79" s="161"/>
      <c r="B79" s="310" t="str">
        <f>+IF(ISERROR(INDEX(INPUT!$T$120:$T$126,MATCH(4,INPUT!$R$120:$R$126,0))),"",INDEX(INPUT!$T$120:$T$126,MATCH(4,INPUT!$R$120:$R$126,0)))</f>
        <v>Personale OSA/OTA o figure assimilate (dotate di titolo professionale specifico) - CCNL Cooperative -C1 -18,02 €/ora</v>
      </c>
      <c r="C79" s="311"/>
      <c r="D79" s="311"/>
      <c r="E79" s="311"/>
      <c r="F79" s="311"/>
      <c r="G79" s="312"/>
      <c r="H79" s="300">
        <f>+IF(ISERROR(INDEX(INPUT!$G$120:$G$126,MATCH(4,INPUT!$R$120:$R$126,0))),"",INDEX(INPUT!$G$120:$G$126,MATCH(4,INPUT!$R$120:$R$126,0)))</f>
        <v>3427.2000000000003</v>
      </c>
      <c r="I79" s="301"/>
      <c r="J79" s="301"/>
      <c r="K79" s="302"/>
      <c r="L79" s="305">
        <f>+IF(ISERROR(INDEX(INPUT!$H$120:$H$126,MATCH(4,INPUT!$R$120:$R$126,0))),"",INDEX(INPUT!$H$120:$H$126,MATCH(4,INPUT!$R$120:$R$126,0)))</f>
        <v>61758.14</v>
      </c>
      <c r="M79" s="306"/>
      <c r="N79" s="306"/>
      <c r="O79" s="307"/>
      <c r="AX79" s="137">
        <v>4</v>
      </c>
      <c r="AY79" s="136" t="str">
        <f>+IF(ISERROR(INDEX(INPUT!$U$120:$U$126,MATCH(AX79,INPUT!$R$120:$R$126,0))),"",INDEX(INPUT!$U$120:$U$126,MATCH(AX79,INPUT!$R$120:$R$126,0)))</f>
        <v>ore</v>
      </c>
      <c r="BA79" s="137"/>
      <c r="BC79" s="137" t="str">
        <f t="shared" si="4"/>
        <v>Personale OSA/OTA o figure assimilate (dotate di titolo professionale specifico) - CCNL Cooperative -C1 -18,02 €/ora</v>
      </c>
      <c r="BE79" s="137"/>
    </row>
    <row r="80" spans="1:57" s="123" customFormat="1" x14ac:dyDescent="0.25">
      <c r="A80" s="161"/>
      <c r="B80" s="310" t="str">
        <f>+IF(ISERROR(INDEX(INPUT!$T$120:$T$126,MATCH(5,INPUT!$R$120:$R$126,0))),"",INDEX(INPUT!$T$120:$T$126,MATCH(5,INPUT!$R$120:$R$126,0)))</f>
        <v>Spese generali</v>
      </c>
      <c r="C80" s="311"/>
      <c r="D80" s="311"/>
      <c r="E80" s="311"/>
      <c r="F80" s="311"/>
      <c r="G80" s="312"/>
      <c r="H80" s="300">
        <f>+IF(ISERROR(INDEX(INPUT!$G$120:$G$126,MATCH(5,INPUT!$R$120:$R$126,0))),"",INDEX(INPUT!$G$120:$G$126,MATCH(5,INPUT!$R$120:$R$126,0)))</f>
        <v>0.03</v>
      </c>
      <c r="I80" s="301"/>
      <c r="J80" s="301"/>
      <c r="K80" s="302"/>
      <c r="L80" s="305">
        <f>+IF(ISERROR(INDEX(INPUT!$H$120:$H$126,MATCH(5,INPUT!$R$120:$R$126,0))),"",INDEX(INPUT!$H$120:$H$126,MATCH(5,INPUT!$R$120:$R$126,0)))</f>
        <v>10113.6</v>
      </c>
      <c r="M80" s="306"/>
      <c r="N80" s="306"/>
      <c r="O80" s="307"/>
      <c r="AX80" s="137">
        <v>5</v>
      </c>
      <c r="AY80" s="136" t="str">
        <f>+IF(ISERROR(INDEX(INPUT!$U$120:$U$126,MATCH(AX80,INPUT!$R$120:$R$126,0))),"",INDEX(INPUT!$U$120:$U$126,MATCH(AX80,INPUT!$R$120:$R$126,0)))</f>
        <v>percentuale</v>
      </c>
      <c r="BA80" s="137"/>
      <c r="BC80" s="137" t="str">
        <f t="shared" si="4"/>
        <v>Spese generali</v>
      </c>
      <c r="BE80" s="137"/>
    </row>
    <row r="81" spans="1:57" s="123" customFormat="1" x14ac:dyDescent="0.25">
      <c r="A81" s="161"/>
      <c r="B81" s="310" t="str">
        <f>+IF(ISERROR(INDEX(INPUT!$T$120:$T$126,MATCH(6,INPUT!$R$120:$R$126,0))),"",INDEX(INPUT!$T$120:$T$126,MATCH(6,INPUT!$R$120:$R$126,0)))</f>
        <v>Spese generali aggiuntive (ex COVID-19)</v>
      </c>
      <c r="C81" s="311"/>
      <c r="D81" s="311"/>
      <c r="E81" s="311"/>
      <c r="F81" s="311"/>
      <c r="G81" s="312"/>
      <c r="H81" s="300">
        <f>+IF(ISERROR(INDEX(INPUT!$G$120:$G$126,MATCH(6,INPUT!$R$120:$R$126,0))),"",INDEX(INPUT!$G$120:$G$126,MATCH(6,INPUT!$R$120:$R$126,0)))</f>
        <v>0.02</v>
      </c>
      <c r="I81" s="301"/>
      <c r="J81" s="301"/>
      <c r="K81" s="302"/>
      <c r="L81" s="305">
        <f>+IF(ISERROR(INDEX(INPUT!$H$120:$H$126,MATCH(6,INPUT!$R$120:$R$126,0))),"",INDEX(INPUT!$H$120:$H$126,MATCH(6,INPUT!$R$120:$R$126,0)))</f>
        <v>6742.4</v>
      </c>
      <c r="M81" s="306"/>
      <c r="N81" s="306"/>
      <c r="O81" s="307"/>
      <c r="AX81" s="137">
        <v>6</v>
      </c>
      <c r="AY81" s="136" t="str">
        <f>+IF(ISERROR(INDEX(INPUT!$U$120:$U$126,MATCH(AX81,INPUT!$R$120:$R$126,0))),"",INDEX(INPUT!$U$120:$U$126,MATCH(AX81,INPUT!$R$120:$R$126,0)))</f>
        <v>percentuale</v>
      </c>
      <c r="BA81" s="137"/>
      <c r="BC81" s="137" t="str">
        <f t="shared" si="4"/>
        <v>Spese generali aggiuntive (ex COVID-19)</v>
      </c>
      <c r="BE81" s="137"/>
    </row>
    <row r="82" spans="1:57" s="123" customFormat="1" x14ac:dyDescent="0.25">
      <c r="A82" s="161"/>
      <c r="B82" s="310" t="str">
        <f>+IF(ISERROR(INDEX(INPUT!$T$120:$T$126,MATCH(7,INPUT!$R$120:$R$126,0))),"",INDEX(INPUT!$T$120:$T$126,MATCH(7,INPUT!$R$120:$R$126,0)))</f>
        <v>IVA</v>
      </c>
      <c r="C82" s="311"/>
      <c r="D82" s="311"/>
      <c r="E82" s="311"/>
      <c r="F82" s="311"/>
      <c r="G82" s="312"/>
      <c r="H82" s="300">
        <f>+IF(ISERROR(INDEX(INPUT!$G$120:$G$126,MATCH(7,INPUT!$R$120:$R$126,0))),"",INDEX(INPUT!$G$120:$G$126,MATCH(7,INPUT!$R$120:$R$126,0)))</f>
        <v>0.05</v>
      </c>
      <c r="I82" s="301"/>
      <c r="J82" s="301"/>
      <c r="K82" s="302"/>
      <c r="L82" s="305">
        <f>+IF(ISERROR(INDEX(INPUT!$H$120:$H$126,MATCH(7,INPUT!$R$120:$R$126,0))),"",INDEX(INPUT!$H$120:$H$126,MATCH(7,INPUT!$R$120:$R$126,0)))</f>
        <v>17698.8</v>
      </c>
      <c r="M82" s="306"/>
      <c r="N82" s="306"/>
      <c r="O82" s="307"/>
      <c r="AX82" s="137">
        <v>7</v>
      </c>
      <c r="AY82" s="136" t="str">
        <f>+IF(ISERROR(INDEX(INPUT!$U$120:$U$126,MATCH(AX82,INPUT!$R$120:$R$126,0))),"",INDEX(INPUT!$U$120:$U$126,MATCH(AX82,INPUT!$R$120:$R$126,0)))</f>
        <v>percentuale</v>
      </c>
      <c r="BA82" s="137"/>
      <c r="BC82" s="137" t="str">
        <f t="shared" si="4"/>
        <v>IVA</v>
      </c>
      <c r="BE82" s="137"/>
    </row>
    <row r="83" spans="1:57" s="123" customFormat="1" x14ac:dyDescent="0.25">
      <c r="A83" s="161"/>
      <c r="B83" s="310" t="str">
        <f>+IF(ISERROR(INDEX(INPUT!$T$120:$T$126,MATCH(8,INPUT!$R$120:$R$126,0))),"",INDEX(INPUT!$T$120:$T$126,MATCH(8,INPUT!$R$120:$R$126,0)))</f>
        <v/>
      </c>
      <c r="C83" s="311"/>
      <c r="D83" s="311"/>
      <c r="E83" s="311"/>
      <c r="F83" s="311"/>
      <c r="G83" s="312"/>
      <c r="H83" s="300" t="str">
        <f>+IF(ISERROR(INDEX(INPUT!$G$120:$G$126,MATCH(8,INPUT!$R$120:$R$126,0))),"",INDEX(INPUT!$G$120:$G$126,MATCH(8,INPUT!$R$120:$R$126,0)))</f>
        <v/>
      </c>
      <c r="I83" s="301"/>
      <c r="J83" s="301"/>
      <c r="K83" s="302"/>
      <c r="L83" s="305" t="str">
        <f>+IF(ISERROR(INDEX(INPUT!$H$120:$H$126,MATCH(8,INPUT!$R$120:$R$126,0))),"",INDEX(INPUT!$H$120:$H$126,MATCH(8,INPUT!$R$120:$R$126,0)))</f>
        <v/>
      </c>
      <c r="M83" s="306"/>
      <c r="N83" s="306"/>
      <c r="O83" s="307"/>
      <c r="AX83" s="137">
        <v>8</v>
      </c>
      <c r="AY83" s="136" t="str">
        <f>+IF(ISERROR(INDEX(INPUT!$U$120:$U$126,MATCH(AX83,INPUT!$R$120:$R$126,0))),"",INDEX(INPUT!$U$120:$U$126,MATCH(AX83,INPUT!$R$120:$R$126,0)))</f>
        <v/>
      </c>
      <c r="BA83" s="137"/>
      <c r="BC83" s="137"/>
      <c r="BE83" s="137"/>
    </row>
    <row r="84" spans="1:57" s="125" customFormat="1" x14ac:dyDescent="0.25">
      <c r="A84" s="162"/>
      <c r="B84" s="352" t="s">
        <v>183</v>
      </c>
      <c r="C84" s="353"/>
      <c r="D84" s="353"/>
      <c r="E84" s="353"/>
      <c r="F84" s="353"/>
      <c r="G84" s="354"/>
      <c r="H84" s="314"/>
      <c r="I84" s="315"/>
      <c r="J84" s="315"/>
      <c r="K84" s="316"/>
      <c r="L84" s="349">
        <f>+SUM(L77:O83)</f>
        <v>371674.76</v>
      </c>
      <c r="M84" s="315"/>
      <c r="N84" s="315"/>
      <c r="O84" s="316"/>
      <c r="BA84" s="186"/>
      <c r="BC84" s="186"/>
      <c r="BE84" s="186"/>
    </row>
    <row r="85" spans="1:57" s="123" customFormat="1" x14ac:dyDescent="0.25">
      <c r="A85" s="161"/>
      <c r="B85" s="310" t="str">
        <f>+INPUT!B128</f>
        <v>Eventuale Compartecipazione degli Utenti</v>
      </c>
      <c r="C85" s="311"/>
      <c r="D85" s="311"/>
      <c r="E85" s="311"/>
      <c r="F85" s="311"/>
      <c r="G85" s="312"/>
      <c r="H85" s="313"/>
      <c r="I85" s="306"/>
      <c r="J85" s="306"/>
      <c r="K85" s="307"/>
      <c r="L85" s="305">
        <f>+INPUT!H128</f>
        <v>0</v>
      </c>
      <c r="M85" s="306"/>
      <c r="N85" s="306"/>
      <c r="O85" s="307"/>
      <c r="BA85" s="137"/>
      <c r="BC85" s="137"/>
      <c r="BE85" s="137"/>
    </row>
    <row r="86" spans="1:57" s="125" customFormat="1" x14ac:dyDescent="0.25">
      <c r="A86" s="162"/>
      <c r="B86" s="352" t="s">
        <v>184</v>
      </c>
      <c r="C86" s="353"/>
      <c r="D86" s="353"/>
      <c r="E86" s="353"/>
      <c r="F86" s="353"/>
      <c r="G86" s="354"/>
      <c r="H86" s="314"/>
      <c r="I86" s="315"/>
      <c r="J86" s="315"/>
      <c r="K86" s="316"/>
      <c r="L86" s="349">
        <f>+SUM(L84:O85)</f>
        <v>371674.76</v>
      </c>
      <c r="M86" s="350"/>
      <c r="N86" s="350"/>
      <c r="O86" s="351"/>
      <c r="BA86" s="186"/>
      <c r="BC86" s="186"/>
      <c r="BE86" s="186"/>
    </row>
    <row r="87" spans="1:57" x14ac:dyDescent="0.25">
      <c r="A87" s="150"/>
      <c r="B87" s="150"/>
      <c r="C87" s="150"/>
      <c r="D87" s="150"/>
      <c r="E87" s="150"/>
      <c r="F87" s="150"/>
      <c r="G87" s="150"/>
      <c r="H87" s="150"/>
      <c r="I87" s="150"/>
      <c r="J87" s="150"/>
      <c r="K87" s="150"/>
      <c r="L87" s="150"/>
      <c r="M87" s="150"/>
      <c r="N87" s="150"/>
      <c r="O87" s="150"/>
    </row>
    <row r="88" spans="1:57" x14ac:dyDescent="0.25">
      <c r="A88" s="163" t="s">
        <v>152</v>
      </c>
      <c r="B88" s="164" t="s">
        <v>236</v>
      </c>
      <c r="C88" s="164"/>
      <c r="D88" s="164"/>
      <c r="E88" s="164"/>
      <c r="F88" s="164"/>
      <c r="G88" s="164"/>
      <c r="H88" s="150"/>
      <c r="I88" s="344">
        <f>+INPUT!C106</f>
        <v>0</v>
      </c>
      <c r="J88" s="304"/>
      <c r="K88" s="150"/>
      <c r="L88" s="150"/>
      <c r="M88" s="150"/>
      <c r="N88" s="150"/>
      <c r="O88" s="150"/>
    </row>
    <row r="89" spans="1:57" x14ac:dyDescent="0.25">
      <c r="A89" s="150"/>
      <c r="B89" s="150"/>
      <c r="C89" s="150"/>
      <c r="D89" s="150"/>
      <c r="E89" s="150"/>
      <c r="F89" s="150"/>
      <c r="G89" s="150"/>
      <c r="H89" s="150"/>
      <c r="I89" s="150"/>
      <c r="J89" s="150"/>
      <c r="K89" s="150"/>
      <c r="L89" s="150"/>
      <c r="M89" s="150"/>
      <c r="N89" s="150"/>
      <c r="O89" s="150"/>
    </row>
    <row r="90" spans="1:57" x14ac:dyDescent="0.25">
      <c r="A90" s="150" t="s">
        <v>154</v>
      </c>
      <c r="B90" s="150" t="s">
        <v>271</v>
      </c>
      <c r="C90" s="150"/>
      <c r="D90" s="150"/>
      <c r="E90" s="150"/>
      <c r="F90" s="150"/>
      <c r="G90" s="150"/>
      <c r="H90" s="150"/>
      <c r="I90" s="150"/>
      <c r="J90" s="150"/>
      <c r="K90" s="150"/>
      <c r="L90" s="150"/>
      <c r="M90" s="150"/>
      <c r="N90" s="150"/>
      <c r="O90" s="150"/>
    </row>
    <row r="91" spans="1:57" x14ac:dyDescent="0.25">
      <c r="A91" s="150"/>
      <c r="B91" s="150"/>
      <c r="C91" s="150"/>
      <c r="D91" s="150"/>
      <c r="E91" s="346">
        <f>+INPUT!C107</f>
        <v>0</v>
      </c>
      <c r="F91" s="347"/>
      <c r="G91" s="347"/>
      <c r="H91" s="347"/>
      <c r="I91" s="347"/>
      <c r="J91" s="347"/>
      <c r="K91" s="347"/>
      <c r="L91" s="347"/>
      <c r="M91" s="347"/>
      <c r="N91" s="347"/>
      <c r="O91" s="348"/>
      <c r="BA91" s="182">
        <f>+E91</f>
        <v>0</v>
      </c>
    </row>
    <row r="92" spans="1:57" x14ac:dyDescent="0.25">
      <c r="A92" s="150"/>
      <c r="B92" s="150"/>
      <c r="C92" s="150"/>
      <c r="D92" s="150"/>
      <c r="E92" s="150"/>
      <c r="F92" s="150"/>
      <c r="G92" s="150"/>
      <c r="H92" s="150"/>
      <c r="I92" s="150"/>
      <c r="J92" s="150"/>
      <c r="K92" s="150"/>
      <c r="L92" s="150"/>
      <c r="M92" s="150"/>
      <c r="N92" s="150"/>
      <c r="O92" s="150"/>
    </row>
    <row r="93" spans="1:57" x14ac:dyDescent="0.25">
      <c r="A93" s="150" t="s">
        <v>166</v>
      </c>
      <c r="B93" s="150" t="s">
        <v>240</v>
      </c>
      <c r="C93" s="150"/>
      <c r="D93" s="150"/>
      <c r="E93" s="150"/>
      <c r="F93" s="150"/>
      <c r="G93" s="150"/>
      <c r="H93" s="150"/>
      <c r="I93" s="150"/>
      <c r="J93" s="293">
        <f>+L84/E44</f>
        <v>21.689703548085902</v>
      </c>
      <c r="K93" s="295"/>
      <c r="L93" s="150"/>
      <c r="M93" s="150"/>
      <c r="N93" s="150"/>
      <c r="O93" s="150"/>
    </row>
    <row r="94" spans="1:57" x14ac:dyDescent="0.25">
      <c r="A94" s="150"/>
      <c r="B94" s="150"/>
      <c r="C94" s="150"/>
      <c r="D94" s="150"/>
      <c r="E94" s="150"/>
      <c r="F94" s="150"/>
      <c r="G94" s="150"/>
      <c r="H94" s="150"/>
      <c r="I94" s="150"/>
      <c r="J94" s="150"/>
      <c r="K94" s="150"/>
      <c r="L94" s="150"/>
      <c r="M94" s="150"/>
      <c r="N94" s="150"/>
      <c r="O94" s="150"/>
    </row>
    <row r="95" spans="1:57" x14ac:dyDescent="0.25">
      <c r="A95" s="318" t="s">
        <v>200</v>
      </c>
      <c r="B95" s="319"/>
      <c r="C95" s="319"/>
      <c r="D95" s="319"/>
      <c r="E95" s="319"/>
      <c r="F95" s="319"/>
      <c r="G95" s="319"/>
      <c r="H95" s="319"/>
      <c r="I95" s="319"/>
      <c r="J95" s="319"/>
      <c r="K95" s="319"/>
      <c r="L95" s="319"/>
      <c r="M95" s="319"/>
      <c r="N95" s="319"/>
      <c r="O95" s="320"/>
    </row>
    <row r="96" spans="1:57" x14ac:dyDescent="0.25">
      <c r="A96" s="140"/>
      <c r="B96" s="140"/>
      <c r="C96" s="140"/>
      <c r="D96" s="140"/>
      <c r="E96" s="140"/>
      <c r="F96" s="140"/>
      <c r="G96" s="140"/>
      <c r="H96" s="140"/>
      <c r="I96" s="140"/>
      <c r="J96" s="140"/>
      <c r="K96" s="140"/>
      <c r="L96" s="309" t="s">
        <v>204</v>
      </c>
      <c r="M96" s="309"/>
      <c r="N96" s="309"/>
      <c r="O96" s="309"/>
    </row>
    <row r="97" spans="1:57" x14ac:dyDescent="0.25">
      <c r="A97" s="345" t="s">
        <v>201</v>
      </c>
      <c r="B97" s="345"/>
      <c r="C97" s="345"/>
      <c r="D97" s="345"/>
      <c r="E97" s="345"/>
      <c r="F97" s="345"/>
      <c r="G97" s="345"/>
      <c r="H97" s="345"/>
      <c r="I97" s="345"/>
      <c r="J97" s="345"/>
      <c r="K97" s="345"/>
      <c r="L97" s="308">
        <f>+INPUT!C113</f>
        <v>0</v>
      </c>
      <c r="M97" s="308"/>
      <c r="N97" s="308"/>
      <c r="O97" s="308"/>
    </row>
    <row r="98" spans="1:57" x14ac:dyDescent="0.25">
      <c r="A98" s="345" t="s">
        <v>202</v>
      </c>
      <c r="B98" s="345"/>
      <c r="C98" s="345"/>
      <c r="D98" s="345"/>
      <c r="E98" s="345"/>
      <c r="F98" s="345"/>
      <c r="G98" s="345"/>
      <c r="H98" s="345"/>
      <c r="I98" s="345"/>
      <c r="J98" s="345"/>
      <c r="K98" s="345"/>
      <c r="L98" s="308">
        <f>+INPUT!C114</f>
        <v>0</v>
      </c>
      <c r="M98" s="308"/>
      <c r="N98" s="308"/>
      <c r="O98" s="308"/>
    </row>
    <row r="99" spans="1:57" x14ac:dyDescent="0.25">
      <c r="A99" s="345" t="s">
        <v>203</v>
      </c>
      <c r="B99" s="345"/>
      <c r="C99" s="345"/>
      <c r="D99" s="345"/>
      <c r="E99" s="345"/>
      <c r="F99" s="345"/>
      <c r="G99" s="345"/>
      <c r="H99" s="345"/>
      <c r="I99" s="345"/>
      <c r="J99" s="345"/>
      <c r="K99" s="345"/>
      <c r="L99" s="308">
        <f>+INPUT!C115</f>
        <v>0</v>
      </c>
      <c r="M99" s="308"/>
      <c r="N99" s="308"/>
      <c r="O99" s="308"/>
    </row>
    <row r="100" spans="1:57" x14ac:dyDescent="0.25">
      <c r="A100" s="345" t="s">
        <v>233</v>
      </c>
      <c r="B100" s="345"/>
      <c r="C100" s="345"/>
      <c r="D100" s="345"/>
      <c r="E100" s="345"/>
      <c r="F100" s="345"/>
      <c r="G100" s="345"/>
      <c r="H100" s="345"/>
      <c r="I100" s="345"/>
      <c r="J100" s="345"/>
      <c r="K100" s="345"/>
      <c r="L100" s="308">
        <f>+INPUT!C116</f>
        <v>0</v>
      </c>
      <c r="M100" s="308"/>
      <c r="N100" s="308"/>
      <c r="O100" s="308"/>
    </row>
    <row r="101" spans="1:57" x14ac:dyDescent="0.25">
      <c r="A101" s="150"/>
      <c r="B101" s="150"/>
      <c r="C101" s="150"/>
      <c r="D101" s="150"/>
      <c r="E101" s="150"/>
      <c r="F101" s="150"/>
      <c r="G101" s="150"/>
      <c r="H101" s="150"/>
      <c r="I101" s="150"/>
      <c r="J101" s="150"/>
      <c r="K101" s="150"/>
      <c r="L101" s="150"/>
      <c r="M101" s="150"/>
      <c r="N101" s="150"/>
      <c r="O101" s="150"/>
    </row>
    <row r="102" spans="1:57" x14ac:dyDescent="0.25">
      <c r="A102" s="318" t="s">
        <v>206</v>
      </c>
      <c r="B102" s="319"/>
      <c r="C102" s="319"/>
      <c r="D102" s="319"/>
      <c r="E102" s="319"/>
      <c r="F102" s="319"/>
      <c r="G102" s="319"/>
      <c r="H102" s="319"/>
      <c r="I102" s="319"/>
      <c r="J102" s="319"/>
      <c r="K102" s="319"/>
      <c r="L102" s="319"/>
      <c r="M102" s="319"/>
      <c r="N102" s="319"/>
      <c r="O102" s="320"/>
    </row>
    <row r="103" spans="1:57" x14ac:dyDescent="0.25">
      <c r="A103" s="150"/>
      <c r="B103" s="150"/>
      <c r="C103" s="150"/>
      <c r="D103" s="150"/>
      <c r="E103" s="150"/>
      <c r="F103" s="150"/>
      <c r="G103" s="150"/>
      <c r="H103" s="150"/>
      <c r="I103" s="150"/>
      <c r="J103" s="150"/>
      <c r="K103" s="150"/>
      <c r="L103" s="150"/>
      <c r="M103" s="150"/>
      <c r="N103" s="150"/>
      <c r="O103" s="150"/>
    </row>
    <row r="104" spans="1:57" x14ac:dyDescent="0.25">
      <c r="A104" s="150"/>
      <c r="B104" s="150"/>
      <c r="C104" s="150"/>
      <c r="D104" s="296" t="s">
        <v>207</v>
      </c>
      <c r="E104" s="297"/>
      <c r="F104" s="298"/>
      <c r="G104" s="296" t="s">
        <v>208</v>
      </c>
      <c r="H104" s="297"/>
      <c r="I104" s="298"/>
      <c r="J104" s="296" t="s">
        <v>209</v>
      </c>
      <c r="K104" s="297"/>
      <c r="L104" s="298"/>
      <c r="M104" s="296" t="s">
        <v>210</v>
      </c>
      <c r="N104" s="297"/>
      <c r="O104" s="298"/>
      <c r="P104" s="296" t="s">
        <v>284</v>
      </c>
      <c r="Q104" s="297"/>
      <c r="R104" s="298"/>
      <c r="S104" s="296" t="s">
        <v>283</v>
      </c>
      <c r="T104" s="297"/>
      <c r="U104" s="298"/>
      <c r="V104" s="296" t="s">
        <v>282</v>
      </c>
      <c r="W104" s="297"/>
      <c r="X104" s="298"/>
      <c r="Y104" s="296" t="s">
        <v>296</v>
      </c>
      <c r="Z104" s="297"/>
      <c r="AA104" s="298"/>
      <c r="AB104" s="296" t="s">
        <v>297</v>
      </c>
      <c r="AC104" s="297"/>
      <c r="AD104" s="298"/>
      <c r="AE104" s="296" t="s">
        <v>300</v>
      </c>
      <c r="AF104" s="297"/>
      <c r="AG104" s="298"/>
      <c r="AH104" s="296" t="s">
        <v>301</v>
      </c>
      <c r="AI104" s="297"/>
      <c r="AJ104" s="298"/>
      <c r="AK104" s="296" t="s">
        <v>306</v>
      </c>
      <c r="AL104" s="297"/>
      <c r="AM104" s="298"/>
      <c r="AN104" s="296" t="s">
        <v>340</v>
      </c>
      <c r="AO104" s="297"/>
      <c r="AP104" s="298"/>
      <c r="AQ104" s="296" t="s">
        <v>346</v>
      </c>
      <c r="AR104" s="297"/>
      <c r="AS104" s="298"/>
      <c r="AT104" s="296" t="s">
        <v>347</v>
      </c>
      <c r="AU104" s="297"/>
      <c r="AV104" s="298"/>
    </row>
    <row r="105" spans="1:57" x14ac:dyDescent="0.25">
      <c r="A105" s="150"/>
      <c r="B105" s="150"/>
      <c r="C105" s="150"/>
      <c r="D105" s="293">
        <f>+D123*INPUT!$C$109</f>
        <v>0</v>
      </c>
      <c r="E105" s="294"/>
      <c r="F105" s="295"/>
      <c r="G105" s="293">
        <f>+G123*INPUT!$C$109</f>
        <v>0</v>
      </c>
      <c r="H105" s="294"/>
      <c r="I105" s="295"/>
      <c r="J105" s="293">
        <f>+J123*INPUT!$C$109</f>
        <v>0</v>
      </c>
      <c r="K105" s="294"/>
      <c r="L105" s="295"/>
      <c r="M105" s="293">
        <f>+M123*INPUT!$C$109</f>
        <v>0</v>
      </c>
      <c r="N105" s="294"/>
      <c r="O105" s="295"/>
      <c r="P105" s="293">
        <f>+P123*INPUT!$C$109</f>
        <v>0</v>
      </c>
      <c r="Q105" s="294"/>
      <c r="R105" s="295"/>
      <c r="S105" s="293">
        <f>+S123*INPUT!$C$109</f>
        <v>0</v>
      </c>
      <c r="T105" s="294"/>
      <c r="U105" s="295"/>
      <c r="V105" s="293">
        <f>+V123*INPUT!$C$109</f>
        <v>0</v>
      </c>
      <c r="W105" s="294"/>
      <c r="X105" s="295"/>
      <c r="Y105" s="293">
        <f>+Y123*INPUT!$C$109</f>
        <v>0</v>
      </c>
      <c r="Z105" s="294"/>
      <c r="AA105" s="295"/>
      <c r="AB105" s="293">
        <f>+AB123*INPUT!$C$109</f>
        <v>0</v>
      </c>
      <c r="AC105" s="294"/>
      <c r="AD105" s="295"/>
      <c r="AE105" s="293">
        <f>+AE123*INPUT!$C$109</f>
        <v>0</v>
      </c>
      <c r="AF105" s="294"/>
      <c r="AG105" s="295"/>
      <c r="AH105" s="293">
        <f>+AH123*INPUT!$C$110</f>
        <v>0</v>
      </c>
      <c r="AI105" s="294"/>
      <c r="AJ105" s="295"/>
      <c r="AK105" s="293">
        <f>+AK123*INPUT!$C$110</f>
        <v>0</v>
      </c>
      <c r="AL105" s="294"/>
      <c r="AM105" s="295"/>
      <c r="AN105" s="293">
        <f>+AN123*INPUT!$C$110</f>
        <v>0</v>
      </c>
      <c r="AO105" s="294"/>
      <c r="AP105" s="295"/>
      <c r="AQ105" s="293">
        <f>+AQ123*INPUT!$C$110</f>
        <v>106192.78834951457</v>
      </c>
      <c r="AR105" s="294"/>
      <c r="AS105" s="295"/>
      <c r="AT105" s="293">
        <f>+AT123*INPUT!$C$110</f>
        <v>265481.97087378643</v>
      </c>
      <c r="AU105" s="294"/>
      <c r="AV105" s="295"/>
    </row>
    <row r="106" spans="1:57" x14ac:dyDescent="0.25">
      <c r="A106" s="150"/>
      <c r="B106" s="150"/>
      <c r="C106" s="150"/>
      <c r="D106" s="150"/>
      <c r="E106" s="150"/>
      <c r="F106" s="150"/>
      <c r="G106" s="150"/>
      <c r="H106" s="150"/>
      <c r="I106" s="150"/>
      <c r="J106" s="150"/>
      <c r="K106" s="150"/>
      <c r="L106" s="150"/>
      <c r="M106" s="150"/>
      <c r="N106" s="150"/>
      <c r="O106" s="150"/>
    </row>
    <row r="107" spans="1:57" x14ac:dyDescent="0.25">
      <c r="A107" s="318" t="s">
        <v>225</v>
      </c>
      <c r="B107" s="319"/>
      <c r="C107" s="319"/>
      <c r="D107" s="319"/>
      <c r="E107" s="319"/>
      <c r="F107" s="319"/>
      <c r="G107" s="319"/>
      <c r="H107" s="319"/>
      <c r="I107" s="319"/>
      <c r="J107" s="319"/>
      <c r="K107" s="319"/>
      <c r="L107" s="319"/>
      <c r="M107" s="319"/>
      <c r="N107" s="319"/>
      <c r="O107" s="320"/>
    </row>
    <row r="108" spans="1:57" x14ac:dyDescent="0.25">
      <c r="A108" s="150"/>
      <c r="B108" s="150"/>
      <c r="C108" s="150"/>
      <c r="D108" s="296" t="s">
        <v>207</v>
      </c>
      <c r="E108" s="297"/>
      <c r="F108" s="298"/>
      <c r="G108" s="296" t="s">
        <v>208</v>
      </c>
      <c r="H108" s="297"/>
      <c r="I108" s="298"/>
      <c r="J108" s="296" t="s">
        <v>209</v>
      </c>
      <c r="K108" s="297"/>
      <c r="L108" s="298"/>
      <c r="M108" s="296" t="s">
        <v>210</v>
      </c>
      <c r="N108" s="297"/>
      <c r="O108" s="298"/>
      <c r="P108" s="296" t="s">
        <v>284</v>
      </c>
      <c r="Q108" s="297"/>
      <c r="R108" s="298"/>
      <c r="S108" s="296" t="s">
        <v>283</v>
      </c>
      <c r="T108" s="297"/>
      <c r="U108" s="298"/>
      <c r="V108" s="296" t="s">
        <v>282</v>
      </c>
      <c r="W108" s="297"/>
      <c r="X108" s="298"/>
      <c r="Y108" s="296" t="s">
        <v>296</v>
      </c>
      <c r="Z108" s="297"/>
      <c r="AA108" s="298"/>
      <c r="AB108" s="296" t="s">
        <v>297</v>
      </c>
      <c r="AC108" s="297"/>
      <c r="AD108" s="298"/>
      <c r="AE108" s="296" t="s">
        <v>300</v>
      </c>
      <c r="AF108" s="297"/>
      <c r="AG108" s="298"/>
      <c r="AH108" s="296" t="s">
        <v>301</v>
      </c>
      <c r="AI108" s="297"/>
      <c r="AJ108" s="298"/>
      <c r="AK108" s="296" t="s">
        <v>306</v>
      </c>
      <c r="AL108" s="297"/>
      <c r="AM108" s="298"/>
      <c r="AN108" s="296" t="s">
        <v>340</v>
      </c>
      <c r="AO108" s="297"/>
      <c r="AP108" s="298"/>
      <c r="AQ108" s="296" t="s">
        <v>346</v>
      </c>
      <c r="AR108" s="297"/>
      <c r="AS108" s="298"/>
      <c r="AT108" s="296" t="s">
        <v>347</v>
      </c>
      <c r="AU108" s="297"/>
      <c r="AV108" s="298"/>
    </row>
    <row r="109" spans="1:57" x14ac:dyDescent="0.25">
      <c r="A109" s="150"/>
      <c r="B109" s="150"/>
      <c r="C109" s="150"/>
      <c r="D109" s="293">
        <f>+D105-D123*INPUT!$C$89</f>
        <v>0</v>
      </c>
      <c r="E109" s="294"/>
      <c r="F109" s="295"/>
      <c r="G109" s="293">
        <f>+G105-G123*INPUT!$C$89</f>
        <v>0</v>
      </c>
      <c r="H109" s="294"/>
      <c r="I109" s="295"/>
      <c r="J109" s="293">
        <f>+J105-J123*INPUT!$C$89</f>
        <v>0</v>
      </c>
      <c r="K109" s="294"/>
      <c r="L109" s="295"/>
      <c r="M109" s="293">
        <f>+M105-M123*INPUT!$C$89</f>
        <v>0</v>
      </c>
      <c r="N109" s="294"/>
      <c r="O109" s="295"/>
      <c r="P109" s="293">
        <f>+P105-P123*INPUT!$C$89</f>
        <v>0</v>
      </c>
      <c r="Q109" s="294"/>
      <c r="R109" s="295"/>
      <c r="S109" s="293">
        <f>+S105-S123*INPUT!$C$89</f>
        <v>0</v>
      </c>
      <c r="T109" s="294"/>
      <c r="U109" s="295"/>
      <c r="V109" s="293">
        <f>+V105-V123*INPUT!$C$89</f>
        <v>0</v>
      </c>
      <c r="W109" s="294"/>
      <c r="X109" s="295"/>
      <c r="Y109" s="293">
        <f>+Y105-Y123*INPUT!$C$89</f>
        <v>0</v>
      </c>
      <c r="Z109" s="294"/>
      <c r="AA109" s="295"/>
      <c r="AB109" s="293">
        <f>+AB105-AB123*INPUT!$C$89</f>
        <v>0</v>
      </c>
      <c r="AC109" s="294"/>
      <c r="AD109" s="295"/>
      <c r="AE109" s="293">
        <f>+AE105-AE123*INPUT!$C$89</f>
        <v>0</v>
      </c>
      <c r="AF109" s="294"/>
      <c r="AG109" s="295"/>
      <c r="AH109" s="293">
        <f>+AH105-AH123*INPUT!$C$89</f>
        <v>0</v>
      </c>
      <c r="AI109" s="294"/>
      <c r="AJ109" s="295"/>
      <c r="AK109" s="293">
        <f>+AK105-AK123*INPUT!$C$89</f>
        <v>0</v>
      </c>
      <c r="AL109" s="294"/>
      <c r="AM109" s="295"/>
      <c r="AN109" s="293">
        <f>+AN105-AN123*INPUT!$C$89</f>
        <v>0</v>
      </c>
      <c r="AO109" s="294"/>
      <c r="AP109" s="295"/>
      <c r="AQ109" s="293">
        <f>+AQ105-AQ123*INPUT!$C$89</f>
        <v>106192.78834951457</v>
      </c>
      <c r="AR109" s="294"/>
      <c r="AS109" s="295"/>
      <c r="AT109" s="293">
        <f>+AT105-AT123*INPUT!$C$89</f>
        <v>265481.97087378643</v>
      </c>
      <c r="AU109" s="294"/>
      <c r="AV109" s="295"/>
    </row>
    <row r="110" spans="1:57" x14ac:dyDescent="0.25">
      <c r="A110" s="150"/>
      <c r="B110" s="150"/>
      <c r="C110" s="150"/>
      <c r="D110" s="150"/>
      <c r="E110" s="150"/>
      <c r="F110" s="150"/>
      <c r="G110" s="150"/>
      <c r="H110" s="150"/>
      <c r="I110" s="150"/>
      <c r="J110" s="150"/>
      <c r="K110" s="150"/>
      <c r="L110" s="150"/>
      <c r="M110" s="150"/>
      <c r="N110" s="150"/>
      <c r="O110" s="150"/>
    </row>
    <row r="111" spans="1:57" ht="120" x14ac:dyDescent="0.25">
      <c r="A111" s="166" t="s">
        <v>256</v>
      </c>
      <c r="B111" s="343" t="s">
        <v>278</v>
      </c>
      <c r="C111" s="343"/>
      <c r="D111" s="343"/>
      <c r="E111" s="343"/>
      <c r="F111" s="343"/>
      <c r="G111" s="343"/>
      <c r="H111" s="343"/>
      <c r="I111" s="343"/>
      <c r="J111" s="343"/>
      <c r="K111" s="343"/>
      <c r="L111" s="343"/>
      <c r="M111" s="343"/>
      <c r="N111" s="343"/>
      <c r="O111" s="343"/>
      <c r="BE111" s="182" t="str">
        <f>+B111</f>
        <v>Il "numero utenti/anno equivalenti" viene calcolato tenendo conto dell' "utente-tipo" derivabile dalle informazioni poste alla base della programmazione della scheda di intervento.. Detto altrimenti, se si ipotizza, sulla base dei servizi erogati in precedenza e/o dell'analisi del fabbisogno, che mediamente un utente, per tutto il tempo in cui rimane in carico del sistema di erogazione dei servizi domiciliari, goda di un servizio medio quantificato in 40 ore al mese, un utente/anno equivalente corrisponderà a 480 ore di servizio annue (**). Di contro, nel caso in cui si programmi di erogare a un servizio di 40 ore/mese a 4 utenti per tre mesi, gli stessi corrisponderanno ad 1 utente/anno equivalente. Il dato viene calcolato principalmente ai fini della confrontabilità dei piani di intervento.</v>
      </c>
    </row>
    <row r="112" spans="1:57" ht="75" x14ac:dyDescent="0.25">
      <c r="A112" s="166" t="s">
        <v>257</v>
      </c>
      <c r="B112" s="343" t="s">
        <v>259</v>
      </c>
      <c r="C112" s="343"/>
      <c r="D112" s="343"/>
      <c r="E112" s="343"/>
      <c r="F112" s="343"/>
      <c r="G112" s="343"/>
      <c r="H112" s="343"/>
      <c r="I112" s="343"/>
      <c r="J112" s="343"/>
      <c r="K112" s="343"/>
      <c r="L112" s="343"/>
      <c r="M112" s="343"/>
      <c r="N112" s="343"/>
      <c r="O112" s="343"/>
      <c r="BE112" s="182" t="str">
        <f>+B112</f>
        <v>Le "ore medie per utente/equivalente anno" sono calcolate tenendo conto dell' "utente-tipo" derivabile dalle informazioni poste alla base della programmazione della scheda di intervento. Esso corrisponde al numero di ore che, sulla base dei servizi erogati in precedenza e/o dell'analisi del fabbisogno, si erogherebbero ad un utente preso in carico per 12 mesi in un anno. Il dato viene calcolato principalmente ai fini della confrontabilità dei piani di intervento.</v>
      </c>
    </row>
    <row r="113" spans="1:83" x14ac:dyDescent="0.25">
      <c r="A113" s="150"/>
      <c r="B113" s="150"/>
      <c r="C113" s="150"/>
      <c r="D113" s="150"/>
      <c r="E113" s="150"/>
      <c r="F113" s="150"/>
      <c r="G113" s="150"/>
      <c r="H113" s="150"/>
      <c r="I113" s="150"/>
      <c r="J113" s="150"/>
      <c r="K113" s="150"/>
      <c r="L113" s="150"/>
      <c r="M113" s="150"/>
      <c r="N113" s="150"/>
      <c r="O113" s="150"/>
    </row>
    <row r="114" spans="1:83" x14ac:dyDescent="0.25">
      <c r="A114" s="150"/>
      <c r="B114" s="150"/>
      <c r="C114" s="150"/>
      <c r="D114" s="150"/>
      <c r="E114" s="150"/>
      <c r="F114" s="150"/>
      <c r="G114" s="150"/>
      <c r="H114" s="150"/>
      <c r="I114" s="150"/>
      <c r="J114" s="150"/>
      <c r="K114" s="150"/>
      <c r="L114" s="150"/>
      <c r="M114" s="150"/>
      <c r="N114" s="150"/>
      <c r="O114" s="150"/>
    </row>
    <row r="115" spans="1:83" hidden="1" x14ac:dyDescent="0.25"/>
    <row r="116" spans="1:83" s="139" customFormat="1" hidden="1" x14ac:dyDescent="0.25">
      <c r="A116" s="142" t="str">
        <f>+INPUT!C148</f>
        <v>buoni servizio (attraverso sistema di accreditamento)</v>
      </c>
      <c r="BA116" s="182"/>
      <c r="BC116" s="182"/>
      <c r="BE116" s="182"/>
    </row>
    <row r="117" spans="1:83" s="139" customFormat="1" hidden="1" x14ac:dyDescent="0.25">
      <c r="A117" s="147" t="str">
        <f>+INPUT!C4</f>
        <v>ADI/CDI</v>
      </c>
      <c r="BA117" s="182"/>
      <c r="BC117" s="182"/>
      <c r="BE117" s="182"/>
    </row>
    <row r="118" spans="1:83" s="139" customFormat="1" hidden="1" x14ac:dyDescent="0.25">
      <c r="A118" s="142" t="str">
        <f>+INPUT!C142</f>
        <v>ADI/CDI</v>
      </c>
      <c r="BA118" s="182"/>
      <c r="BC118" s="182"/>
      <c r="BE118" s="182"/>
    </row>
    <row r="119" spans="1:83" s="139" customFormat="1" hidden="1" x14ac:dyDescent="0.25">
      <c r="A119" s="142" t="str">
        <f>+INPUT!C143</f>
        <v>SAD/ADS/ADA</v>
      </c>
      <c r="BA119" s="182"/>
      <c r="BC119" s="182"/>
      <c r="BE119" s="182"/>
    </row>
    <row r="120" spans="1:83" hidden="1" x14ac:dyDescent="0.25"/>
    <row r="121" spans="1:83" s="281" customFormat="1" hidden="1" x14ac:dyDescent="0.25">
      <c r="BA121" s="282"/>
      <c r="BC121" s="282"/>
      <c r="BE121" s="282"/>
    </row>
    <row r="122" spans="1:83" s="281" customFormat="1" hidden="1" x14ac:dyDescent="0.25">
      <c r="A122" s="283"/>
      <c r="B122" s="284"/>
      <c r="C122" s="284"/>
      <c r="D122" s="285" t="s">
        <v>143</v>
      </c>
      <c r="E122" s="284"/>
      <c r="F122" s="284"/>
      <c r="G122" s="285" t="s">
        <v>144</v>
      </c>
      <c r="H122" s="284"/>
      <c r="I122" s="284"/>
      <c r="J122" s="285" t="s">
        <v>145</v>
      </c>
      <c r="K122" s="284"/>
      <c r="L122" s="284"/>
      <c r="M122" s="285" t="s">
        <v>146</v>
      </c>
      <c r="N122" s="284"/>
      <c r="O122" s="284"/>
      <c r="P122" s="285" t="s">
        <v>279</v>
      </c>
      <c r="Q122" s="284"/>
      <c r="R122" s="284"/>
      <c r="S122" s="285" t="s">
        <v>280</v>
      </c>
      <c r="T122" s="284"/>
      <c r="U122" s="284"/>
      <c r="V122" s="285" t="s">
        <v>281</v>
      </c>
      <c r="W122" s="284"/>
      <c r="X122" s="284"/>
      <c r="Y122" s="285" t="s">
        <v>291</v>
      </c>
      <c r="Z122" s="284"/>
      <c r="AA122" s="284"/>
      <c r="AB122" s="285" t="s">
        <v>292</v>
      </c>
      <c r="AC122" s="284"/>
      <c r="AD122" s="284"/>
      <c r="AE122" s="285" t="s">
        <v>298</v>
      </c>
      <c r="AF122" s="284"/>
      <c r="AG122" s="284"/>
      <c r="AH122" s="285" t="s">
        <v>299</v>
      </c>
      <c r="AI122" s="284"/>
      <c r="AJ122" s="284"/>
      <c r="AK122" s="285" t="s">
        <v>305</v>
      </c>
      <c r="AL122" s="284"/>
      <c r="AM122" s="284"/>
      <c r="AN122" s="285" t="s">
        <v>336</v>
      </c>
      <c r="AO122" s="284"/>
      <c r="AQ122" s="285" t="s">
        <v>344</v>
      </c>
      <c r="AT122" s="285" t="s">
        <v>345</v>
      </c>
      <c r="CA122" s="282"/>
      <c r="CC122" s="282"/>
      <c r="CE122" s="282"/>
    </row>
    <row r="123" spans="1:83" s="281" customFormat="1" hidden="1" x14ac:dyDescent="0.25">
      <c r="A123" s="283" t="s">
        <v>269</v>
      </c>
      <c r="B123" s="284"/>
      <c r="C123" s="284"/>
      <c r="D123" s="283">
        <f>INPUT!C68</f>
        <v>0</v>
      </c>
      <c r="E123" s="284"/>
      <c r="F123" s="284"/>
      <c r="G123" s="283">
        <f>INPUT!D68</f>
        <v>0</v>
      </c>
      <c r="H123" s="284"/>
      <c r="I123" s="284"/>
      <c r="J123" s="283">
        <f>INPUT!E68</f>
        <v>0</v>
      </c>
      <c r="K123" s="284"/>
      <c r="L123" s="284"/>
      <c r="M123" s="283">
        <f>INPUT!F68</f>
        <v>0</v>
      </c>
      <c r="N123" s="284"/>
      <c r="O123" s="284"/>
      <c r="P123" s="283">
        <f>INPUT!G68</f>
        <v>0</v>
      </c>
      <c r="Q123" s="284"/>
      <c r="R123" s="284"/>
      <c r="S123" s="283">
        <f>INPUT!H68</f>
        <v>0</v>
      </c>
      <c r="T123" s="284"/>
      <c r="U123" s="284"/>
      <c r="V123" s="283">
        <f>INPUT!I68</f>
        <v>0</v>
      </c>
      <c r="W123" s="284"/>
      <c r="X123" s="284"/>
      <c r="Y123" s="283">
        <f>INPUT!J68</f>
        <v>0</v>
      </c>
      <c r="Z123" s="284"/>
      <c r="AA123" s="284"/>
      <c r="AB123" s="283">
        <f>INPUT!K68</f>
        <v>0</v>
      </c>
      <c r="AC123" s="284"/>
      <c r="AD123" s="284"/>
      <c r="AE123" s="283">
        <f>INPUT!L68</f>
        <v>0</v>
      </c>
      <c r="AF123" s="284"/>
      <c r="AG123" s="284"/>
      <c r="AH123" s="283">
        <f>INPUT!M68</f>
        <v>0</v>
      </c>
      <c r="AI123" s="284"/>
      <c r="AJ123" s="284"/>
      <c r="AK123" s="283">
        <f>INPUT!N68</f>
        <v>0</v>
      </c>
      <c r="AL123" s="284"/>
      <c r="AM123" s="284"/>
      <c r="AN123" s="283">
        <f>INPUT!O68</f>
        <v>0</v>
      </c>
      <c r="AO123" s="284"/>
      <c r="AQ123" s="281">
        <f>INPUT!P68</f>
        <v>4896</v>
      </c>
      <c r="AT123" s="281">
        <f>INPUT!Q68</f>
        <v>12240</v>
      </c>
      <c r="CA123" s="282"/>
      <c r="CC123" s="282"/>
      <c r="CE123" s="282"/>
    </row>
    <row r="124" spans="1:83" s="281" customFormat="1" hidden="1" x14ac:dyDescent="0.25">
      <c r="BA124" s="282"/>
      <c r="BC124" s="282"/>
      <c r="BE124" s="282"/>
    </row>
    <row r="125" spans="1:83" hidden="1" x14ac:dyDescent="0.25"/>
    <row r="126" spans="1:83" hidden="1" x14ac:dyDescent="0.25"/>
    <row r="127" spans="1:83" hidden="1" x14ac:dyDescent="0.25"/>
    <row r="128" spans="1:83" hidden="1" x14ac:dyDescent="0.25"/>
  </sheetData>
  <sheetProtection algorithmName="SHA-512" hashValue="AgQYKzW6G3nrubCbxA2M0kSnS7jSAGDeNiX9xvD0Uc/zHjCmtbyZ+KkQu3uWckUqKLo9mKh1vqxJFP72n1F60w==" saltValue="iRGsbSGhjsjU9NKUPBVucQ==" spinCount="100000" sheet="1" formatRows="0"/>
  <mergeCells count="191">
    <mergeCell ref="B85:G85"/>
    <mergeCell ref="J93:K93"/>
    <mergeCell ref="H86:K86"/>
    <mergeCell ref="S105:U105"/>
    <mergeCell ref="V105:X105"/>
    <mergeCell ref="AE104:AG104"/>
    <mergeCell ref="AE105:AG105"/>
    <mergeCell ref="AE108:AG108"/>
    <mergeCell ref="AE109:AG109"/>
    <mergeCell ref="Y104:AA104"/>
    <mergeCell ref="AB104:AD104"/>
    <mergeCell ref="Y108:AA108"/>
    <mergeCell ref="AB108:AD108"/>
    <mergeCell ref="Y105:AA105"/>
    <mergeCell ref="AB105:AD105"/>
    <mergeCell ref="Y109:AA109"/>
    <mergeCell ref="AB109:AD109"/>
    <mergeCell ref="B82:G82"/>
    <mergeCell ref="B77:G77"/>
    <mergeCell ref="B84:G84"/>
    <mergeCell ref="B86:G86"/>
    <mergeCell ref="H76:K76"/>
    <mergeCell ref="B112:O112"/>
    <mergeCell ref="J109:L109"/>
    <mergeCell ref="M109:O109"/>
    <mergeCell ref="B78:G78"/>
    <mergeCell ref="A107:O107"/>
    <mergeCell ref="D108:F108"/>
    <mergeCell ref="G108:I108"/>
    <mergeCell ref="J108:L108"/>
    <mergeCell ref="M108:O108"/>
    <mergeCell ref="D109:F109"/>
    <mergeCell ref="G109:I109"/>
    <mergeCell ref="A97:K97"/>
    <mergeCell ref="L84:O84"/>
    <mergeCell ref="L80:O80"/>
    <mergeCell ref="L79:O79"/>
    <mergeCell ref="D104:F104"/>
    <mergeCell ref="G104:I104"/>
    <mergeCell ref="D105:F105"/>
    <mergeCell ref="G105:I105"/>
    <mergeCell ref="B111:O111"/>
    <mergeCell ref="H83:K83"/>
    <mergeCell ref="L83:O83"/>
    <mergeCell ref="I88:J88"/>
    <mergeCell ref="A102:O102"/>
    <mergeCell ref="L85:O85"/>
    <mergeCell ref="B79:G79"/>
    <mergeCell ref="A75:O75"/>
    <mergeCell ref="J72:K72"/>
    <mergeCell ref="L72:N72"/>
    <mergeCell ref="J104:L104"/>
    <mergeCell ref="M104:O104"/>
    <mergeCell ref="A95:O95"/>
    <mergeCell ref="A98:K98"/>
    <mergeCell ref="A99:K99"/>
    <mergeCell ref="A100:K100"/>
    <mergeCell ref="E91:O91"/>
    <mergeCell ref="B80:G80"/>
    <mergeCell ref="H79:K79"/>
    <mergeCell ref="L86:O86"/>
    <mergeCell ref="H82:K82"/>
    <mergeCell ref="L82:O82"/>
    <mergeCell ref="B81:G81"/>
    <mergeCell ref="L78:O78"/>
    <mergeCell ref="A3:O3"/>
    <mergeCell ref="E9:O9"/>
    <mergeCell ref="E10:O10"/>
    <mergeCell ref="E11:H11"/>
    <mergeCell ref="A13:O13"/>
    <mergeCell ref="E44:F44"/>
    <mergeCell ref="E24:O24"/>
    <mergeCell ref="E27:O27"/>
    <mergeCell ref="E39:O39"/>
    <mergeCell ref="E42:O42"/>
    <mergeCell ref="B42:D42"/>
    <mergeCell ref="G41:O41"/>
    <mergeCell ref="B16:O16"/>
    <mergeCell ref="E17:O17"/>
    <mergeCell ref="E36:O36"/>
    <mergeCell ref="B38:O38"/>
    <mergeCell ref="J48:K48"/>
    <mergeCell ref="J61:K61"/>
    <mergeCell ref="E20:O20"/>
    <mergeCell ref="J57:K57"/>
    <mergeCell ref="L57:N57"/>
    <mergeCell ref="J51:K51"/>
    <mergeCell ref="L51:N51"/>
    <mergeCell ref="L48:N48"/>
    <mergeCell ref="J52:K52"/>
    <mergeCell ref="L52:N52"/>
    <mergeCell ref="L49:N49"/>
    <mergeCell ref="J58:K58"/>
    <mergeCell ref="L58:N58"/>
    <mergeCell ref="J59:K59"/>
    <mergeCell ref="L59:N59"/>
    <mergeCell ref="J50:K50"/>
    <mergeCell ref="L50:N50"/>
    <mergeCell ref="J60:K60"/>
    <mergeCell ref="L60:N60"/>
    <mergeCell ref="L55:N55"/>
    <mergeCell ref="J55:K55"/>
    <mergeCell ref="J56:K56"/>
    <mergeCell ref="L61:N61"/>
    <mergeCell ref="L46:N46"/>
    <mergeCell ref="B83:G83"/>
    <mergeCell ref="H85:K85"/>
    <mergeCell ref="L81:O81"/>
    <mergeCell ref="H84:K84"/>
    <mergeCell ref="H80:K80"/>
    <mergeCell ref="A1:O1"/>
    <mergeCell ref="A4:O4"/>
    <mergeCell ref="E5:O5"/>
    <mergeCell ref="E6:O6"/>
    <mergeCell ref="E7:O7"/>
    <mergeCell ref="L67:N67"/>
    <mergeCell ref="A2:O2"/>
    <mergeCell ref="L45:N45"/>
    <mergeCell ref="E8:O8"/>
    <mergeCell ref="E14:O14"/>
    <mergeCell ref="E30:O30"/>
    <mergeCell ref="E33:O33"/>
    <mergeCell ref="J47:K47"/>
    <mergeCell ref="L66:N66"/>
    <mergeCell ref="J45:K45"/>
    <mergeCell ref="J65:K65"/>
    <mergeCell ref="L65:N65"/>
    <mergeCell ref="J66:K66"/>
    <mergeCell ref="J49:K49"/>
    <mergeCell ref="J46:K46"/>
    <mergeCell ref="L56:N56"/>
    <mergeCell ref="L47:N47"/>
    <mergeCell ref="J67:K67"/>
    <mergeCell ref="AN105:AP105"/>
    <mergeCell ref="AN108:AP108"/>
    <mergeCell ref="AN109:AP109"/>
    <mergeCell ref="AN104:AP104"/>
    <mergeCell ref="AK104:AM104"/>
    <mergeCell ref="AK105:AM105"/>
    <mergeCell ref="AK108:AM108"/>
    <mergeCell ref="AK109:AM109"/>
    <mergeCell ref="L76:O76"/>
    <mergeCell ref="L77:O77"/>
    <mergeCell ref="L100:O100"/>
    <mergeCell ref="L99:O99"/>
    <mergeCell ref="L96:O96"/>
    <mergeCell ref="L98:O98"/>
    <mergeCell ref="L97:O97"/>
    <mergeCell ref="P104:R104"/>
    <mergeCell ref="S104:U104"/>
    <mergeCell ref="P109:R109"/>
    <mergeCell ref="S109:U109"/>
    <mergeCell ref="J53:K53"/>
    <mergeCell ref="L53:N53"/>
    <mergeCell ref="J63:K63"/>
    <mergeCell ref="L63:N63"/>
    <mergeCell ref="J73:K73"/>
    <mergeCell ref="L73:N73"/>
    <mergeCell ref="AQ104:AS104"/>
    <mergeCell ref="AQ105:AS105"/>
    <mergeCell ref="AQ108:AS108"/>
    <mergeCell ref="H77:K77"/>
    <mergeCell ref="H81:K81"/>
    <mergeCell ref="J70:K70"/>
    <mergeCell ref="L70:N70"/>
    <mergeCell ref="J62:K62"/>
    <mergeCell ref="L62:N62"/>
    <mergeCell ref="J68:K68"/>
    <mergeCell ref="H78:K78"/>
    <mergeCell ref="J71:K71"/>
    <mergeCell ref="L71:N71"/>
    <mergeCell ref="P108:R108"/>
    <mergeCell ref="S108:U108"/>
    <mergeCell ref="V108:X108"/>
    <mergeCell ref="J105:L105"/>
    <mergeCell ref="M105:O105"/>
    <mergeCell ref="L68:N68"/>
    <mergeCell ref="J69:K69"/>
    <mergeCell ref="L69:N69"/>
    <mergeCell ref="V109:X109"/>
    <mergeCell ref="V104:X104"/>
    <mergeCell ref="P105:R105"/>
    <mergeCell ref="AQ109:AS109"/>
    <mergeCell ref="AT104:AV104"/>
    <mergeCell ref="AT105:AV105"/>
    <mergeCell ref="AT108:AV108"/>
    <mergeCell ref="AT109:AV109"/>
    <mergeCell ref="AH104:AJ104"/>
    <mergeCell ref="AH105:AJ105"/>
    <mergeCell ref="AH108:AJ108"/>
    <mergeCell ref="AH109:AJ109"/>
  </mergeCells>
  <phoneticPr fontId="2" type="noConversion"/>
  <conditionalFormatting sqref="H82:K82">
    <cfRule type="expression" dxfId="8" priority="6" stopIfTrue="1">
      <formula>AY82="percentuale"</formula>
    </cfRule>
  </conditionalFormatting>
  <conditionalFormatting sqref="H77:K81">
    <cfRule type="expression" dxfId="7" priority="5" stopIfTrue="1">
      <formula>AY77="percentuale"</formula>
    </cfRule>
  </conditionalFormatting>
  <conditionalFormatting sqref="B16:O16 E17:O17">
    <cfRule type="expression" dxfId="6" priority="152" stopIfTrue="1">
      <formula>$A$117=$A$118</formula>
    </cfRule>
  </conditionalFormatting>
  <conditionalFormatting sqref="A93:O93">
    <cfRule type="expression" dxfId="5" priority="165" stopIfTrue="1">
      <formula>$E$20&lt;&gt;$A$116</formula>
    </cfRule>
  </conditionalFormatting>
  <conditionalFormatting sqref="H83:K83">
    <cfRule type="expression" dxfId="4" priority="1" stopIfTrue="1">
      <formula>AY83="percentuale"</formula>
    </cfRule>
  </conditionalFormatting>
  <pageMargins left="0.7" right="0.7" top="0.75" bottom="0.75" header="0.3" footer="0.3"/>
  <pageSetup paperSize="9" scale="22" orientation="landscape" r:id="rId1"/>
  <headerFooter scaleWithDoc="0">
    <oddHeader>&amp;R&amp;G</oddHeader>
    <oddFooter>&amp;C&amp;P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Z2"/>
  <sheetViews>
    <sheetView zoomScaleNormal="100" zoomScaleSheetLayoutView="70" workbookViewId="0"/>
  </sheetViews>
  <sheetFormatPr defaultRowHeight="15" x14ac:dyDescent="0.25"/>
  <cols>
    <col min="1" max="14" width="11.28515625" customWidth="1"/>
    <col min="15" max="20" width="14.7109375" customWidth="1"/>
    <col min="21" max="26" width="13.85546875" customWidth="1"/>
  </cols>
  <sheetData>
    <row r="1" spans="1:26" x14ac:dyDescent="0.25">
      <c r="A1" s="181" t="s">
        <v>197</v>
      </c>
      <c r="B1" s="181" t="s">
        <v>218</v>
      </c>
      <c r="C1" s="181" t="s">
        <v>217</v>
      </c>
      <c r="D1" s="181" t="s">
        <v>219</v>
      </c>
      <c r="E1" s="181" t="s">
        <v>220</v>
      </c>
      <c r="F1" s="181" t="s">
        <v>221</v>
      </c>
      <c r="G1" s="181" t="s">
        <v>222</v>
      </c>
      <c r="H1" s="181" t="s">
        <v>223</v>
      </c>
      <c r="I1" s="181" t="s">
        <v>224</v>
      </c>
      <c r="J1" s="181" t="s">
        <v>287</v>
      </c>
      <c r="K1" s="181" t="s">
        <v>228</v>
      </c>
      <c r="L1" s="181" t="s">
        <v>285</v>
      </c>
      <c r="M1" s="181" t="s">
        <v>286</v>
      </c>
      <c r="N1" s="181" t="s">
        <v>288</v>
      </c>
      <c r="O1" s="181" t="s">
        <v>293</v>
      </c>
      <c r="P1" s="181" t="s">
        <v>294</v>
      </c>
      <c r="Q1" s="181" t="s">
        <v>295</v>
      </c>
      <c r="R1" s="181" t="s">
        <v>302</v>
      </c>
      <c r="S1" s="181" t="s">
        <v>303</v>
      </c>
      <c r="T1" s="181" t="s">
        <v>304</v>
      </c>
      <c r="U1" s="181" t="s">
        <v>341</v>
      </c>
      <c r="V1" s="181" t="s">
        <v>342</v>
      </c>
      <c r="W1" s="181" t="s">
        <v>343</v>
      </c>
      <c r="X1" s="181" t="s">
        <v>348</v>
      </c>
      <c r="Y1" s="181" t="s">
        <v>349</v>
      </c>
      <c r="Z1" s="181" t="s">
        <v>350</v>
      </c>
    </row>
    <row r="2" spans="1:26" x14ac:dyDescent="0.25">
      <c r="A2" s="190">
        <f>+INDEX(INPUT!B142:B143,MATCH(INPUT!C4,INPUT!C142:C143,0))</f>
        <v>1</v>
      </c>
      <c r="B2" s="190">
        <f>+'SCHEDA DI INTERVENTO'!F46</f>
        <v>0</v>
      </c>
      <c r="C2" s="196">
        <f>+'SCHEDA DI INTERVENTO'!F47</f>
        <v>0</v>
      </c>
      <c r="D2" s="196">
        <f>+'SCHEDA DI INTERVENTO'!F48</f>
        <v>0</v>
      </c>
      <c r="E2" s="191">
        <f>+'SCHEDA DI INTERVENTO'!F56</f>
        <v>0</v>
      </c>
      <c r="F2" s="191">
        <f>+'SCHEDA DI INTERVENTO'!F57</f>
        <v>0</v>
      </c>
      <c r="G2" s="191">
        <f>+'SCHEDA DI INTERVENTO'!F58</f>
        <v>0</v>
      </c>
      <c r="H2" s="192">
        <f>+'SCHEDA DI INTERVENTO'!D109+'SCHEDA DI INTERVENTO'!G109</f>
        <v>0</v>
      </c>
      <c r="I2" s="192">
        <f>+'SCHEDA DI INTERVENTO'!J109+'SCHEDA DI INTERVENTO'!M109</f>
        <v>0</v>
      </c>
      <c r="J2" s="192">
        <f>+'SCHEDA DI INTERVENTO'!P109+'SCHEDA DI INTERVENTO'!S109</f>
        <v>0</v>
      </c>
      <c r="K2" s="190" t="str">
        <f>+'SCHEDA DI INTERVENTO'!E5</f>
        <v>Assistenza domiciliare integrata con i servizi sanitari nel distretto socio sanitario 27.</v>
      </c>
      <c r="L2" s="196">
        <f>+'SCHEDA DI INTERVENTO'!F49</f>
        <v>0</v>
      </c>
      <c r="M2" s="191">
        <f>+'SCHEDA DI INTERVENTO'!F59</f>
        <v>0</v>
      </c>
      <c r="N2" s="192">
        <f>+'SCHEDA DI INTERVENTO'!V109+'SCHEDA DI INTERVENTO'!Y109</f>
        <v>0</v>
      </c>
      <c r="O2" s="198">
        <f>+'SCHEDA DI INTERVENTO'!F50</f>
        <v>0</v>
      </c>
      <c r="P2" s="199">
        <f>+'SCHEDA DI INTERVENTO'!F60</f>
        <v>0</v>
      </c>
      <c r="Q2" s="200">
        <f>+'SCHEDA DI INTERVENTO'!AB109+'SCHEDA DI INTERVENTO'!AE109</f>
        <v>0</v>
      </c>
      <c r="R2" s="277">
        <f>+'SCHEDA DI INTERVENTO'!F51</f>
        <v>0</v>
      </c>
      <c r="S2" s="201">
        <f>+'SCHEDA DI INTERVENTO'!F61</f>
        <v>0</v>
      </c>
      <c r="T2" s="202">
        <f>+'SCHEDA DI INTERVENTO'!AH109+'SCHEDA DI INTERVENTO'!AK109</f>
        <v>0</v>
      </c>
      <c r="U2" s="278">
        <f>+'SCHEDA DI INTERVENTO'!F52</f>
        <v>4896</v>
      </c>
      <c r="V2" s="279">
        <f>+'SCHEDA DI INTERVENTO'!F62</f>
        <v>17</v>
      </c>
      <c r="W2" s="280">
        <f>+'SCHEDA DI INTERVENTO'!AN109+'SCHEDA DI INTERVENTO'!AQ109</f>
        <v>106192.78834951457</v>
      </c>
      <c r="X2" s="286">
        <f>+'SCHEDA DI INTERVENTO'!F53</f>
        <v>12240</v>
      </c>
      <c r="Y2" s="287">
        <f>+'SCHEDA DI INTERVENTO'!F63</f>
        <v>42.5</v>
      </c>
      <c r="Z2" s="288">
        <f>+'SCHEDA DI INTERVENTO'!AT109</f>
        <v>265481.97087378643</v>
      </c>
    </row>
  </sheetData>
  <sheetProtection algorithmName="SHA-512" hashValue="vWsxQjYDIOJVL1NqlFCVT1SCl98IxVBigWTiNrquSLhyBRlw7twZpBhg0Ri8g5oTi7zIgMgvULXn6jCxYHl9pA==" saltValue="oCYHEZ+Fs2hTQgKFuQjpFw==" spinCount="100000" sheet="1" objects="1" scenarios="1"/>
  <phoneticPr fontId="2" type="noConversion"/>
  <pageMargins left="0.7" right="0.7" top="0.75" bottom="0.75" header="0.3" footer="0.3"/>
  <pageSetup paperSize="9" scale="8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2"/>
  <dimension ref="A1:V28"/>
  <sheetViews>
    <sheetView workbookViewId="0">
      <selection activeCell="S14" sqref="S14"/>
    </sheetView>
  </sheetViews>
  <sheetFormatPr defaultRowHeight="15" x14ac:dyDescent="0.25"/>
  <cols>
    <col min="1" max="1" width="18.5703125" bestFit="1" customWidth="1"/>
    <col min="6" max="6" width="16.42578125" bestFit="1" customWidth="1"/>
    <col min="7" max="7" width="14.42578125" bestFit="1" customWidth="1"/>
    <col min="8" max="8" width="19" bestFit="1" customWidth="1"/>
  </cols>
  <sheetData>
    <row r="1" spans="1:22" x14ac:dyDescent="0.25">
      <c r="A1" t="s">
        <v>26</v>
      </c>
      <c r="B1" t="s">
        <v>17</v>
      </c>
      <c r="F1" t="s">
        <v>27</v>
      </c>
      <c r="G1" t="s">
        <v>118</v>
      </c>
      <c r="H1" t="s">
        <v>45</v>
      </c>
      <c r="K1" s="110" t="s">
        <v>140</v>
      </c>
      <c r="L1" s="111"/>
      <c r="N1" t="s">
        <v>331</v>
      </c>
      <c r="O1" t="s">
        <v>332</v>
      </c>
      <c r="S1" t="s">
        <v>333</v>
      </c>
    </row>
    <row r="2" spans="1:22" x14ac:dyDescent="0.25">
      <c r="A2" t="s">
        <v>4</v>
      </c>
      <c r="B2" s="273">
        <f t="shared" ref="B2:B18" si="0">+SUMPRODUCT(($S$2:$V$2=$N$2)*$S6:$V6)</f>
        <v>15.72</v>
      </c>
      <c r="D2" t="s">
        <v>4</v>
      </c>
      <c r="F2" t="s">
        <v>28</v>
      </c>
      <c r="G2" s="273">
        <f t="shared" ref="G2:H17" si="1">+O6</f>
        <v>25.06</v>
      </c>
      <c r="H2" s="273">
        <f t="shared" si="1"/>
        <v>26.76</v>
      </c>
      <c r="K2" s="112" t="str">
        <f>+IF(INPUT!$C$19=INPUT!$C$150,'CCNL-appoggio'!A2,IF(INPUT!$C$19=INPUT!$C$151,'CCNL-appoggio'!F2,'CCNL-appoggio'!F2))</f>
        <v>A1</v>
      </c>
      <c r="L2" s="113">
        <f>+IF(INPUT!$C$19=INPUT!$C$150,'CCNL-appoggio'!B2,IF(INPUT!$C$19=INPUT!$C$151,'CCNL-appoggio'!G2,'CCNL-appoggio'!H2))</f>
        <v>15.72</v>
      </c>
      <c r="N2" s="272" t="str">
        <f>+INPUT!C20</f>
        <v>da settembre 2020</v>
      </c>
      <c r="O2" s="97" t="s">
        <v>309</v>
      </c>
      <c r="S2" s="97" t="s">
        <v>309</v>
      </c>
      <c r="T2" s="97" t="s">
        <v>310</v>
      </c>
      <c r="U2" s="97" t="s">
        <v>311</v>
      </c>
      <c r="V2" s="97" t="s">
        <v>312</v>
      </c>
    </row>
    <row r="3" spans="1:22" x14ac:dyDescent="0.25">
      <c r="A3" t="s">
        <v>5</v>
      </c>
      <c r="B3" s="273">
        <f t="shared" si="0"/>
        <v>15.92</v>
      </c>
      <c r="D3" t="s">
        <v>5</v>
      </c>
      <c r="F3" t="s">
        <v>29</v>
      </c>
      <c r="G3" s="273">
        <f t="shared" si="1"/>
        <v>23.44</v>
      </c>
      <c r="H3" s="273">
        <f t="shared" si="1"/>
        <v>25.03</v>
      </c>
      <c r="K3" s="112" t="str">
        <f>+IF(INPUT!$C$19=INPUT!$C$150,'CCNL-appoggio'!A3,IF(INPUT!$C$19=INPUT!$C$151,'CCNL-appoggio'!F3,'CCNL-appoggio'!F3))</f>
        <v>A2</v>
      </c>
      <c r="L3" s="113">
        <f>+IF(INPUT!$C$19=INPUT!$C$150,'CCNL-appoggio'!B3,IF(INPUT!$C$19=INPUT!$C$151,'CCNL-appoggio'!G3,'CCNL-appoggio'!H3))</f>
        <v>15.92</v>
      </c>
      <c r="O3" s="97" t="s">
        <v>308</v>
      </c>
    </row>
    <row r="4" spans="1:22" x14ac:dyDescent="0.25">
      <c r="A4" t="s">
        <v>3</v>
      </c>
      <c r="B4" s="273">
        <f t="shared" si="0"/>
        <v>16.73</v>
      </c>
      <c r="D4" t="s">
        <v>3</v>
      </c>
      <c r="F4" t="s">
        <v>30</v>
      </c>
      <c r="G4" s="273">
        <f t="shared" si="1"/>
        <v>22.44</v>
      </c>
      <c r="H4" s="273">
        <f t="shared" si="1"/>
        <v>23.96</v>
      </c>
      <c r="K4" s="112" t="str">
        <f>+IF(INPUT!$C$19=INPUT!$C$150,'CCNL-appoggio'!A4,IF(INPUT!$C$19=INPUT!$C$151,'CCNL-appoggio'!F4,'CCNL-appoggio'!F4))</f>
        <v>B1</v>
      </c>
      <c r="L4" s="113">
        <f>+IF(INPUT!$C$19=INPUT!$C$150,'CCNL-appoggio'!B4,IF(INPUT!$C$19=INPUT!$C$151,'CCNL-appoggio'!G4,'CCNL-appoggio'!H4))</f>
        <v>16.73</v>
      </c>
    </row>
    <row r="5" spans="1:22" x14ac:dyDescent="0.25">
      <c r="A5" t="s">
        <v>6</v>
      </c>
      <c r="B5" s="273">
        <f t="shared" si="0"/>
        <v>0</v>
      </c>
      <c r="D5" t="s">
        <v>2</v>
      </c>
      <c r="F5" t="s">
        <v>31</v>
      </c>
      <c r="G5" s="273">
        <f t="shared" si="1"/>
        <v>21.52</v>
      </c>
      <c r="H5" s="273">
        <f t="shared" si="1"/>
        <v>22.98</v>
      </c>
      <c r="K5" s="112" t="str">
        <f>+IF(INPUT!$C$19=INPUT!$C$150,'CCNL-appoggio'!A5,IF(INPUT!$C$19=INPUT!$C$151,'CCNL-appoggio'!F5,'CCNL-appoggio'!F5))</f>
        <v>B1 con i.f.</v>
      </c>
      <c r="L5" s="113">
        <f>+IF(INPUT!$C$19=INPUT!$C$150,'CCNL-appoggio'!B5,IF(INPUT!$C$19=INPUT!$C$151,'CCNL-appoggio'!G5,'CCNL-appoggio'!H5))</f>
        <v>0</v>
      </c>
      <c r="O5" t="s">
        <v>334</v>
      </c>
      <c r="P5" t="s">
        <v>335</v>
      </c>
    </row>
    <row r="6" spans="1:22" x14ac:dyDescent="0.25">
      <c r="A6" t="s">
        <v>2</v>
      </c>
      <c r="B6" s="273">
        <f t="shared" si="0"/>
        <v>18.02</v>
      </c>
      <c r="D6" t="s">
        <v>1</v>
      </c>
      <c r="F6" t="s">
        <v>0</v>
      </c>
      <c r="G6" s="273">
        <f t="shared" si="1"/>
        <v>19.63</v>
      </c>
      <c r="H6" s="273">
        <f t="shared" si="1"/>
        <v>20.97</v>
      </c>
      <c r="K6" s="112" t="str">
        <f>+IF(INPUT!$C$19=INPUT!$C$150,'CCNL-appoggio'!A6,IF(INPUT!$C$19=INPUT!$C$151,'CCNL-appoggio'!F6,'CCNL-appoggio'!F6))</f>
        <v>C1</v>
      </c>
      <c r="L6" s="113">
        <f>+IF(INPUT!$C$19=INPUT!$C$150,'CCNL-appoggio'!B6,IF(INPUT!$C$19=INPUT!$C$151,'CCNL-appoggio'!G6,'CCNL-appoggio'!H6))</f>
        <v>18.02</v>
      </c>
      <c r="N6" t="s">
        <v>28</v>
      </c>
      <c r="O6" s="272">
        <f t="array" ref="O6:O28">+IF($N$2=$O$2,('CCNL EELL'!$J$6:$J$28), ('CCNL EELL 2018'!$J$6:$J$28))</f>
        <v>25.06</v>
      </c>
      <c r="P6" s="272">
        <f t="array" ref="P6:P28">+IF($N$2=$O$2,('CCNL EELL'!$K$6:$K$28), ('CCNL EELL 2018'!$K$6:$K$28))</f>
        <v>26.76</v>
      </c>
      <c r="R6" t="s">
        <v>4</v>
      </c>
      <c r="S6" s="272">
        <f t="array" ref="S6:S22">+TRANSPOSE(ROUND('CCNL cooperative'!B39:R39,2))</f>
        <v>14.7</v>
      </c>
      <c r="T6" s="272">
        <f t="array" ref="T6:T22">+TRANSPOSE(ROUND('CCNL cooperative (11-19)'!B40:R40,2))</f>
        <v>15.26</v>
      </c>
      <c r="U6" s="272">
        <f t="array" ref="U6:U22">+TRANSPOSE(ROUND('CCNL cooperative (4-20)'!B40:R40,2))</f>
        <v>15.5</v>
      </c>
      <c r="V6" s="272">
        <f t="array" ref="V6:V22">+TRANSPOSE(ROUND('CCNL cooperative (9-20)'!B40:R40,2))</f>
        <v>15.72</v>
      </c>
    </row>
    <row r="7" spans="1:22" x14ac:dyDescent="0.25">
      <c r="A7" t="s">
        <v>1</v>
      </c>
      <c r="B7" s="273">
        <f t="shared" si="0"/>
        <v>18.57</v>
      </c>
      <c r="D7" t="s">
        <v>7</v>
      </c>
      <c r="F7" t="s">
        <v>32</v>
      </c>
      <c r="G7" s="273">
        <f t="shared" si="1"/>
        <v>18.72</v>
      </c>
      <c r="H7" s="273">
        <f t="shared" si="1"/>
        <v>19.989999999999998</v>
      </c>
      <c r="K7" s="112" t="str">
        <f>+IF(INPUT!$C$19=INPUT!$C$150,'CCNL-appoggio'!A7,IF(INPUT!$C$19=INPUT!$C$151,'CCNL-appoggio'!F7,'CCNL-appoggio'!F7))</f>
        <v>C2</v>
      </c>
      <c r="L7" s="113">
        <f>+IF(INPUT!$C$19=INPUT!$C$150,'CCNL-appoggio'!B7,IF(INPUT!$C$19=INPUT!$C$151,'CCNL-appoggio'!G7,'CCNL-appoggio'!H7))</f>
        <v>18.57</v>
      </c>
      <c r="N7" t="s">
        <v>29</v>
      </c>
      <c r="O7" s="272">
        <v>23.44</v>
      </c>
      <c r="P7" s="272">
        <v>25.03</v>
      </c>
      <c r="R7" t="s">
        <v>5</v>
      </c>
      <c r="S7" s="272">
        <v>14.9</v>
      </c>
      <c r="T7" s="272">
        <v>15.46</v>
      </c>
      <c r="U7" s="272">
        <v>15.71</v>
      </c>
      <c r="V7" s="272">
        <v>15.92</v>
      </c>
    </row>
    <row r="8" spans="1:22" x14ac:dyDescent="0.25">
      <c r="A8" t="s">
        <v>7</v>
      </c>
      <c r="B8" s="273">
        <f t="shared" si="0"/>
        <v>19.13</v>
      </c>
      <c r="D8" t="s">
        <v>0</v>
      </c>
      <c r="F8" t="s">
        <v>33</v>
      </c>
      <c r="G8" s="273">
        <f t="shared" si="1"/>
        <v>19.37</v>
      </c>
      <c r="H8" s="273">
        <f t="shared" si="1"/>
        <v>20.68</v>
      </c>
      <c r="K8" s="112" t="str">
        <f>+IF(INPUT!$C$19=INPUT!$C$150,'CCNL-appoggio'!A8,IF(INPUT!$C$19=INPUT!$C$151,'CCNL-appoggio'!F8,'CCNL-appoggio'!F8))</f>
        <v>C3/D1</v>
      </c>
      <c r="L8" s="113">
        <f>+IF(INPUT!$C$19=INPUT!$C$150,'CCNL-appoggio'!B8,IF(INPUT!$C$19=INPUT!$C$151,'CCNL-appoggio'!G8,'CCNL-appoggio'!H8))</f>
        <v>19.13</v>
      </c>
      <c r="N8" t="s">
        <v>30</v>
      </c>
      <c r="O8" s="272">
        <v>22.44</v>
      </c>
      <c r="P8" s="272">
        <v>23.96</v>
      </c>
      <c r="R8" t="s">
        <v>3</v>
      </c>
      <c r="S8" s="272">
        <v>15.67</v>
      </c>
      <c r="T8" s="272">
        <v>16.25</v>
      </c>
      <c r="U8" s="272">
        <v>16.510000000000002</v>
      </c>
      <c r="V8" s="272">
        <v>16.73</v>
      </c>
    </row>
    <row r="9" spans="1:22" x14ac:dyDescent="0.25">
      <c r="A9" t="s">
        <v>8</v>
      </c>
      <c r="B9" s="273">
        <f t="shared" si="0"/>
        <v>19.86</v>
      </c>
      <c r="D9" t="s">
        <v>10</v>
      </c>
      <c r="F9" t="s">
        <v>34</v>
      </c>
      <c r="G9" s="273">
        <f t="shared" si="1"/>
        <v>18.68</v>
      </c>
      <c r="H9" s="273">
        <f t="shared" si="1"/>
        <v>19.940000000000001</v>
      </c>
      <c r="K9" s="112" t="str">
        <f>+IF(INPUT!$C$19=INPUT!$C$150,'CCNL-appoggio'!A9,IF(INPUT!$C$19=INPUT!$C$151,'CCNL-appoggio'!F9,'CCNL-appoggio'!F9))</f>
        <v>C3/D1 con i.p.</v>
      </c>
      <c r="L9" s="113">
        <f>+IF(INPUT!$C$19=INPUT!$C$150,'CCNL-appoggio'!B9,IF(INPUT!$C$19=INPUT!$C$151,'CCNL-appoggio'!G9,'CCNL-appoggio'!H9))</f>
        <v>19.86</v>
      </c>
      <c r="N9" t="s">
        <v>31</v>
      </c>
      <c r="O9" s="272">
        <v>21.52</v>
      </c>
      <c r="P9" s="272">
        <v>22.98</v>
      </c>
      <c r="R9" t="s">
        <v>6</v>
      </c>
      <c r="S9" s="272">
        <v>16.21</v>
      </c>
      <c r="T9" s="272">
        <v>0</v>
      </c>
      <c r="U9" s="272">
        <v>0</v>
      </c>
      <c r="V9" s="272">
        <v>0</v>
      </c>
    </row>
    <row r="10" spans="1:22" x14ac:dyDescent="0.25">
      <c r="A10" t="s">
        <v>0</v>
      </c>
      <c r="B10" s="273">
        <f t="shared" si="0"/>
        <v>20.22</v>
      </c>
      <c r="D10" t="s">
        <v>11</v>
      </c>
      <c r="F10" t="s">
        <v>35</v>
      </c>
      <c r="G10" s="273">
        <f t="shared" si="1"/>
        <v>18.100000000000001</v>
      </c>
      <c r="H10" s="273">
        <f t="shared" si="1"/>
        <v>19.329999999999998</v>
      </c>
      <c r="K10" s="112" t="str">
        <f>+IF(INPUT!$C$19=INPUT!$C$150,'CCNL-appoggio'!A10,IF(INPUT!$C$19=INPUT!$C$151,'CCNL-appoggio'!F10,'CCNL-appoggio'!F10))</f>
        <v>D2</v>
      </c>
      <c r="L10" s="113">
        <f>+IF(INPUT!$C$19=INPUT!$C$150,'CCNL-appoggio'!B10,IF(INPUT!$C$19=INPUT!$C$151,'CCNL-appoggio'!G10,'CCNL-appoggio'!H10))</f>
        <v>20.22</v>
      </c>
      <c r="N10" t="s">
        <v>0</v>
      </c>
      <c r="O10" s="272">
        <v>19.63</v>
      </c>
      <c r="P10" s="272">
        <v>20.97</v>
      </c>
      <c r="R10" t="s">
        <v>2</v>
      </c>
      <c r="S10" s="272">
        <v>16.89</v>
      </c>
      <c r="T10" s="272">
        <v>17.5</v>
      </c>
      <c r="U10" s="272">
        <v>17.78</v>
      </c>
      <c r="V10" s="272">
        <v>18.02</v>
      </c>
    </row>
    <row r="11" spans="1:22" x14ac:dyDescent="0.25">
      <c r="A11" t="s">
        <v>9</v>
      </c>
      <c r="B11" s="273">
        <f t="shared" si="0"/>
        <v>22.04</v>
      </c>
      <c r="C11" s="34"/>
      <c r="D11" t="s">
        <v>13</v>
      </c>
      <c r="F11" t="s">
        <v>1</v>
      </c>
      <c r="G11" s="273">
        <f t="shared" si="1"/>
        <v>17.61</v>
      </c>
      <c r="H11" s="273">
        <f t="shared" si="1"/>
        <v>18.809999999999999</v>
      </c>
      <c r="K11" s="112" t="str">
        <f>+IF(INPUT!$C$19=INPUT!$C$150,'CCNL-appoggio'!A11,IF(INPUT!$C$19=INPUT!$C$151,'CCNL-appoggio'!F11,'CCNL-appoggio'!F11))</f>
        <v>D2 con i.p.</v>
      </c>
      <c r="L11" s="113">
        <f>+IF(INPUT!$C$19=INPUT!$C$150,'CCNL-appoggio'!B11,IF(INPUT!$C$19=INPUT!$C$151,'CCNL-appoggio'!G11,'CCNL-appoggio'!H11))</f>
        <v>22.04</v>
      </c>
      <c r="N11" t="s">
        <v>32</v>
      </c>
      <c r="O11" s="272">
        <v>18.72</v>
      </c>
      <c r="P11" s="272">
        <v>19.989999999999998</v>
      </c>
      <c r="R11" t="s">
        <v>1</v>
      </c>
      <c r="S11" s="272">
        <v>17.41</v>
      </c>
      <c r="T11" s="272">
        <v>18.03</v>
      </c>
      <c r="U11" s="272">
        <v>18.32</v>
      </c>
      <c r="V11" s="272">
        <v>18.57</v>
      </c>
    </row>
    <row r="12" spans="1:22" x14ac:dyDescent="0.25">
      <c r="A12" t="s">
        <v>10</v>
      </c>
      <c r="B12" s="273">
        <f t="shared" si="0"/>
        <v>21.59</v>
      </c>
      <c r="D12" t="s">
        <v>15</v>
      </c>
      <c r="F12" t="s">
        <v>2</v>
      </c>
      <c r="G12" s="273">
        <f t="shared" si="1"/>
        <v>17.2</v>
      </c>
      <c r="H12" s="273">
        <f t="shared" si="1"/>
        <v>18.37</v>
      </c>
      <c r="K12" s="112" t="str">
        <f>+IF(INPUT!$C$19=INPUT!$C$150,'CCNL-appoggio'!A12,IF(INPUT!$C$19=INPUT!$C$151,'CCNL-appoggio'!F12,'CCNL-appoggio'!F12))</f>
        <v>D3/E1</v>
      </c>
      <c r="L12" s="113">
        <f>+IF(INPUT!$C$19=INPUT!$C$150,'CCNL-appoggio'!B12,IF(INPUT!$C$19=INPUT!$C$151,'CCNL-appoggio'!G12,'CCNL-appoggio'!H12))</f>
        <v>21.59</v>
      </c>
      <c r="N12" t="s">
        <v>33</v>
      </c>
      <c r="O12" s="272">
        <v>19.37</v>
      </c>
      <c r="P12" s="272">
        <v>20.68</v>
      </c>
      <c r="R12" t="s">
        <v>7</v>
      </c>
      <c r="S12" s="272">
        <v>17.940000000000001</v>
      </c>
      <c r="T12" s="272">
        <v>18.579999999999998</v>
      </c>
      <c r="U12" s="272">
        <v>18.87</v>
      </c>
      <c r="V12" s="272">
        <v>19.13</v>
      </c>
    </row>
    <row r="13" spans="1:22" x14ac:dyDescent="0.25">
      <c r="A13" t="s">
        <v>11</v>
      </c>
      <c r="B13" s="273">
        <f t="shared" si="0"/>
        <v>24.29</v>
      </c>
      <c r="F13" t="s">
        <v>36</v>
      </c>
      <c r="G13" s="273">
        <f t="shared" si="1"/>
        <v>17.579999999999998</v>
      </c>
      <c r="H13" s="273">
        <f t="shared" si="1"/>
        <v>18.77</v>
      </c>
      <c r="K13" s="112" t="str">
        <f>+IF(INPUT!$C$19=INPUT!$C$150,'CCNL-appoggio'!A13,IF(INPUT!$C$19=INPUT!$C$151,'CCNL-appoggio'!F13,'CCNL-appoggio'!F13))</f>
        <v>E2</v>
      </c>
      <c r="L13" s="113">
        <f>+IF(INPUT!$C$19=INPUT!$C$150,'CCNL-appoggio'!B13,IF(INPUT!$C$19=INPUT!$C$151,'CCNL-appoggio'!G13,'CCNL-appoggio'!H13))</f>
        <v>24.29</v>
      </c>
      <c r="N13" t="s">
        <v>34</v>
      </c>
      <c r="O13" s="272">
        <v>18.68</v>
      </c>
      <c r="P13" s="272">
        <v>19.940000000000001</v>
      </c>
      <c r="R13" t="s">
        <v>8</v>
      </c>
      <c r="S13" s="272">
        <v>18.66</v>
      </c>
      <c r="T13" s="272">
        <v>19.309999999999999</v>
      </c>
      <c r="U13" s="272">
        <v>19.600000000000001</v>
      </c>
      <c r="V13" s="272">
        <v>19.86</v>
      </c>
    </row>
    <row r="14" spans="1:22" x14ac:dyDescent="0.25">
      <c r="A14" t="s">
        <v>12</v>
      </c>
      <c r="B14" s="273">
        <f t="shared" si="0"/>
        <v>26.42</v>
      </c>
      <c r="F14" t="s">
        <v>37</v>
      </c>
      <c r="G14" s="273">
        <f t="shared" si="1"/>
        <v>16.93</v>
      </c>
      <c r="H14" s="273">
        <f t="shared" si="1"/>
        <v>18.079999999999998</v>
      </c>
      <c r="K14" s="112" t="str">
        <f>+IF(INPUT!$C$19=INPUT!$C$150,'CCNL-appoggio'!A14,IF(INPUT!$C$19=INPUT!$C$151,'CCNL-appoggio'!F14,'CCNL-appoggio'!F14))</f>
        <v>E2 con i.p.</v>
      </c>
      <c r="L14" s="113">
        <f>+IF(INPUT!$C$19=INPUT!$C$150,'CCNL-appoggio'!B14,IF(INPUT!$C$19=INPUT!$C$151,'CCNL-appoggio'!G14,'CCNL-appoggio'!H14))</f>
        <v>26.42</v>
      </c>
      <c r="N14" t="s">
        <v>35</v>
      </c>
      <c r="O14" s="272">
        <v>18.100000000000001</v>
      </c>
      <c r="P14" s="272">
        <v>19.329999999999998</v>
      </c>
      <c r="R14" t="s">
        <v>0</v>
      </c>
      <c r="S14" s="272">
        <v>18.97</v>
      </c>
      <c r="T14" s="272">
        <v>19.64</v>
      </c>
      <c r="U14" s="272">
        <v>19.95</v>
      </c>
      <c r="V14" s="272">
        <v>20.22</v>
      </c>
    </row>
    <row r="15" spans="1:22" x14ac:dyDescent="0.25">
      <c r="A15" t="s">
        <v>13</v>
      </c>
      <c r="B15" s="273">
        <f t="shared" si="0"/>
        <v>27.79</v>
      </c>
      <c r="F15" t="s">
        <v>38</v>
      </c>
      <c r="G15" s="273">
        <f t="shared" si="1"/>
        <v>16.63</v>
      </c>
      <c r="H15" s="273">
        <f t="shared" si="1"/>
        <v>17.760000000000002</v>
      </c>
      <c r="K15" s="112" t="str">
        <f>+IF(INPUT!$C$19=INPUT!$C$150,'CCNL-appoggio'!A15,IF(INPUT!$C$19=INPUT!$C$151,'CCNL-appoggio'!F15,'CCNL-appoggio'!F15))</f>
        <v>F1</v>
      </c>
      <c r="L15" s="113">
        <f>+IF(INPUT!$C$19=INPUT!$C$150,'CCNL-appoggio'!B15,IF(INPUT!$C$19=INPUT!$C$151,'CCNL-appoggio'!G15,'CCNL-appoggio'!H15))</f>
        <v>27.79</v>
      </c>
      <c r="N15" t="s">
        <v>1</v>
      </c>
      <c r="O15" s="272">
        <v>17.61</v>
      </c>
      <c r="P15" s="272">
        <v>18.809999999999999</v>
      </c>
      <c r="R15" t="s">
        <v>9</v>
      </c>
      <c r="S15" s="272">
        <v>20.79</v>
      </c>
      <c r="T15" s="272">
        <v>21.46</v>
      </c>
      <c r="U15" s="272">
        <v>21.77</v>
      </c>
      <c r="V15" s="272">
        <v>22.04</v>
      </c>
    </row>
    <row r="16" spans="1:22" x14ac:dyDescent="0.25">
      <c r="A16" t="s">
        <v>14</v>
      </c>
      <c r="B16" s="273">
        <f t="shared" si="0"/>
        <v>29.01</v>
      </c>
      <c r="F16" t="s">
        <v>39</v>
      </c>
      <c r="G16" s="273">
        <f t="shared" si="1"/>
        <v>16.36</v>
      </c>
      <c r="H16" s="273">
        <f t="shared" si="1"/>
        <v>17.47</v>
      </c>
      <c r="K16" s="112" t="str">
        <f>+IF(INPUT!$C$19=INPUT!$C$150,'CCNL-appoggio'!A16,IF(INPUT!$C$19=INPUT!$C$151,'CCNL-appoggio'!F16,'CCNL-appoggio'!F16))</f>
        <v>F1 con i.p.</v>
      </c>
      <c r="L16" s="113">
        <f>+IF(INPUT!$C$19=INPUT!$C$150,'CCNL-appoggio'!B16,IF(INPUT!$C$19=INPUT!$C$151,'CCNL-appoggio'!G16,'CCNL-appoggio'!H16))</f>
        <v>29.01</v>
      </c>
      <c r="N16" t="s">
        <v>2</v>
      </c>
      <c r="O16" s="272">
        <v>17.2</v>
      </c>
      <c r="P16" s="272">
        <v>18.37</v>
      </c>
      <c r="R16" t="s">
        <v>10</v>
      </c>
      <c r="S16" s="272">
        <v>20.27</v>
      </c>
      <c r="T16" s="272">
        <v>20.97</v>
      </c>
      <c r="U16" s="272">
        <v>21.3</v>
      </c>
      <c r="V16" s="272">
        <v>21.59</v>
      </c>
    </row>
    <row r="17" spans="1:22" x14ac:dyDescent="0.25">
      <c r="A17" t="s">
        <v>15</v>
      </c>
      <c r="B17" s="273">
        <f t="shared" si="0"/>
        <v>32.42</v>
      </c>
      <c r="F17" t="s">
        <v>40</v>
      </c>
      <c r="G17" s="273">
        <f t="shared" si="1"/>
        <v>16.12</v>
      </c>
      <c r="H17" s="273">
        <f t="shared" si="1"/>
        <v>17.21</v>
      </c>
      <c r="K17" s="112" t="str">
        <f>+IF(INPUT!$C$19=INPUT!$C$150,'CCNL-appoggio'!A17,IF(INPUT!$C$19=INPUT!$C$151,'CCNL-appoggio'!F17,'CCNL-appoggio'!F17))</f>
        <v>F2</v>
      </c>
      <c r="L17" s="113">
        <f>+IF(INPUT!$C$19=INPUT!$C$150,'CCNL-appoggio'!B17,IF(INPUT!$C$19=INPUT!$C$151,'CCNL-appoggio'!G17,'CCNL-appoggio'!H17))</f>
        <v>32.42</v>
      </c>
      <c r="N17" t="s">
        <v>36</v>
      </c>
      <c r="O17" s="272">
        <v>17.579999999999998</v>
      </c>
      <c r="P17" s="272">
        <v>18.77</v>
      </c>
      <c r="R17" t="s">
        <v>11</v>
      </c>
      <c r="S17" s="272">
        <v>22.87</v>
      </c>
      <c r="T17" s="272">
        <v>23.62</v>
      </c>
      <c r="U17" s="272">
        <v>23.98</v>
      </c>
      <c r="V17" s="272">
        <v>24.29</v>
      </c>
    </row>
    <row r="18" spans="1:22" x14ac:dyDescent="0.25">
      <c r="A18" t="s">
        <v>16</v>
      </c>
      <c r="B18" s="273">
        <f t="shared" si="0"/>
        <v>32.42</v>
      </c>
      <c r="F18" t="s">
        <v>41</v>
      </c>
      <c r="G18" s="273">
        <f t="shared" ref="G18:H24" si="2">+O22</f>
        <v>15.5</v>
      </c>
      <c r="H18" s="273">
        <f t="shared" si="2"/>
        <v>16.55</v>
      </c>
      <c r="K18" s="112" t="str">
        <f>+IF(INPUT!$C$19=INPUT!$C$150,'CCNL-appoggio'!A18,IF(INPUT!$C$19=INPUT!$C$151,'CCNL-appoggio'!F18,'CCNL-appoggio'!F18))</f>
        <v>F2 con i.d.</v>
      </c>
      <c r="L18" s="113">
        <f>+IF(INPUT!$C$19=INPUT!$C$150,'CCNL-appoggio'!B18,IF(INPUT!$C$19=INPUT!$C$151,'CCNL-appoggio'!G18,'CCNL-appoggio'!H18))</f>
        <v>32.42</v>
      </c>
      <c r="N18" t="s">
        <v>37</v>
      </c>
      <c r="O18" s="272">
        <v>16.93</v>
      </c>
      <c r="P18" s="272">
        <v>18.079999999999998</v>
      </c>
      <c r="R18" t="s">
        <v>12</v>
      </c>
      <c r="S18" s="272">
        <v>24.99</v>
      </c>
      <c r="T18" s="272">
        <v>25.75</v>
      </c>
      <c r="U18" s="272">
        <v>26.11</v>
      </c>
      <c r="V18" s="272">
        <v>26.42</v>
      </c>
    </row>
    <row r="19" spans="1:22" x14ac:dyDescent="0.25">
      <c r="F19" t="s">
        <v>3</v>
      </c>
      <c r="G19" s="273">
        <f t="shared" si="2"/>
        <v>15.25</v>
      </c>
      <c r="H19" s="273">
        <f t="shared" si="2"/>
        <v>16.28</v>
      </c>
      <c r="K19" s="112">
        <f>+IF(INPUT!$C$19=INPUT!$C$150,'CCNL-appoggio'!A19,IF(INPUT!$C$19=INPUT!$C$151,'CCNL-appoggio'!F19,'CCNL-appoggio'!F19))</f>
        <v>0</v>
      </c>
      <c r="L19" s="113">
        <f>+IF(INPUT!$C$19=INPUT!$C$150,'CCNL-appoggio'!B19,IF(INPUT!$C$19=INPUT!$C$151,'CCNL-appoggio'!G19,'CCNL-appoggio'!H19))</f>
        <v>0</v>
      </c>
      <c r="N19" t="s">
        <v>38</v>
      </c>
      <c r="O19" s="272">
        <v>16.63</v>
      </c>
      <c r="P19" s="272">
        <v>17.760000000000002</v>
      </c>
      <c r="R19" t="s">
        <v>13</v>
      </c>
      <c r="S19" s="272">
        <v>26.23</v>
      </c>
      <c r="T19" s="272">
        <v>27.05</v>
      </c>
      <c r="U19" s="272">
        <v>27.45</v>
      </c>
      <c r="V19" s="272">
        <v>27.79</v>
      </c>
    </row>
    <row r="20" spans="1:22" x14ac:dyDescent="0.25">
      <c r="F20" t="s">
        <v>42</v>
      </c>
      <c r="G20" s="273">
        <f t="shared" si="2"/>
        <v>15.51</v>
      </c>
      <c r="H20" s="273">
        <f t="shared" si="2"/>
        <v>16.559999999999999</v>
      </c>
      <c r="K20" s="112">
        <f>+IF(INPUT!$C$19=INPUT!$C$150,'CCNL-appoggio'!A20,IF(INPUT!$C$19=INPUT!$C$151,'CCNL-appoggio'!F20,'CCNL-appoggio'!F20))</f>
        <v>0</v>
      </c>
      <c r="L20" s="113">
        <f>+IF(INPUT!$C$19=INPUT!$C$150,'CCNL-appoggio'!B20,IF(INPUT!$C$19=INPUT!$C$151,'CCNL-appoggio'!G20,'CCNL-appoggio'!H20))</f>
        <v>0</v>
      </c>
      <c r="N20" t="s">
        <v>39</v>
      </c>
      <c r="O20" s="272">
        <v>16.36</v>
      </c>
      <c r="P20" s="272">
        <v>17.47</v>
      </c>
      <c r="R20" t="s">
        <v>14</v>
      </c>
      <c r="S20" s="272">
        <v>27.45</v>
      </c>
      <c r="T20" s="272">
        <v>28.27</v>
      </c>
      <c r="U20" s="272">
        <v>28.66</v>
      </c>
      <c r="V20" s="272">
        <v>29.01</v>
      </c>
    </row>
    <row r="21" spans="1:22" x14ac:dyDescent="0.25">
      <c r="F21" t="s">
        <v>43</v>
      </c>
      <c r="G21" s="273">
        <f t="shared" si="2"/>
        <v>15.2</v>
      </c>
      <c r="H21" s="273">
        <f t="shared" si="2"/>
        <v>16.23</v>
      </c>
      <c r="K21" s="112">
        <f>+IF(INPUT!$C$19=INPUT!$C$150,'CCNL-appoggio'!A21,IF(INPUT!$C$19=INPUT!$C$151,'CCNL-appoggio'!F21,'CCNL-appoggio'!F21))</f>
        <v>0</v>
      </c>
      <c r="L21" s="113">
        <f>+IF(INPUT!$C$19=INPUT!$C$150,'CCNL-appoggio'!B21,IF(INPUT!$C$19=INPUT!$C$151,'CCNL-appoggio'!G21,'CCNL-appoggio'!H21))</f>
        <v>0</v>
      </c>
      <c r="N21" t="s">
        <v>40</v>
      </c>
      <c r="O21" s="272">
        <v>16.12</v>
      </c>
      <c r="P21" s="272">
        <v>17.21</v>
      </c>
      <c r="R21" t="s">
        <v>15</v>
      </c>
      <c r="S21" s="272">
        <v>30.65</v>
      </c>
      <c r="T21" s="272">
        <v>31.57</v>
      </c>
      <c r="U21" s="272">
        <v>32.020000000000003</v>
      </c>
      <c r="V21" s="272">
        <v>32.42</v>
      </c>
    </row>
    <row r="22" spans="1:22" x14ac:dyDescent="0.25">
      <c r="F22" t="s">
        <v>44</v>
      </c>
      <c r="G22" s="273">
        <f t="shared" si="2"/>
        <v>14.93</v>
      </c>
      <c r="H22" s="273">
        <f t="shared" si="2"/>
        <v>15.94</v>
      </c>
      <c r="K22" s="112">
        <f>+IF(INPUT!$C$19=INPUT!$C$150,'CCNL-appoggio'!A22,IF(INPUT!$C$19=INPUT!$C$151,'CCNL-appoggio'!F22,'CCNL-appoggio'!F22))</f>
        <v>0</v>
      </c>
      <c r="L22" s="113">
        <f>+IF(INPUT!$C$19=INPUT!$C$150,'CCNL-appoggio'!B22,IF(INPUT!$C$19=INPUT!$C$151,'CCNL-appoggio'!G22,'CCNL-appoggio'!H22))</f>
        <v>0</v>
      </c>
      <c r="N22" t="s">
        <v>41</v>
      </c>
      <c r="O22" s="272">
        <v>15.5</v>
      </c>
      <c r="P22" s="272">
        <v>16.55</v>
      </c>
      <c r="R22" t="s">
        <v>16</v>
      </c>
      <c r="S22" s="272">
        <v>30.65</v>
      </c>
      <c r="T22" s="272">
        <v>31.57</v>
      </c>
      <c r="U22" s="272">
        <v>32.020000000000003</v>
      </c>
      <c r="V22" s="272">
        <v>32.42</v>
      </c>
    </row>
    <row r="23" spans="1:22" x14ac:dyDescent="0.25">
      <c r="F23" t="s">
        <v>5</v>
      </c>
      <c r="G23" s="273">
        <f t="shared" si="2"/>
        <v>14.62</v>
      </c>
      <c r="H23" s="273">
        <f t="shared" si="2"/>
        <v>15.61</v>
      </c>
      <c r="K23" s="112">
        <f>+IF(INPUT!$C$19=INPUT!$C$150,'CCNL-appoggio'!A23,IF(INPUT!$C$19=INPUT!$C$151,'CCNL-appoggio'!F23,'CCNL-appoggio'!F23))</f>
        <v>0</v>
      </c>
      <c r="L23" s="113">
        <f>+IF(INPUT!$C$19=INPUT!$C$150,'CCNL-appoggio'!B23,IF(INPUT!$C$19=INPUT!$C$151,'CCNL-appoggio'!G23,'CCNL-appoggio'!H23))</f>
        <v>0</v>
      </c>
      <c r="N23" t="s">
        <v>3</v>
      </c>
      <c r="O23" s="272">
        <v>15.25</v>
      </c>
      <c r="P23" s="272">
        <v>16.28</v>
      </c>
    </row>
    <row r="24" spans="1:22" x14ac:dyDescent="0.25">
      <c r="F24" t="s">
        <v>4</v>
      </c>
      <c r="G24" s="273">
        <f t="shared" si="2"/>
        <v>14.43</v>
      </c>
      <c r="H24" s="273">
        <f t="shared" si="2"/>
        <v>15.41</v>
      </c>
      <c r="K24" s="114">
        <f>+IF(INPUT!$C$19=INPUT!$C$150,'CCNL-appoggio'!A24,IF(INPUT!$C$19=INPUT!$C$151,'CCNL-appoggio'!F24,'CCNL-appoggio'!F24))</f>
        <v>0</v>
      </c>
      <c r="L24" s="115">
        <f>+IF(INPUT!$C$19=INPUT!$C$150,'CCNL-appoggio'!B24,IF(INPUT!$C$19=INPUT!$C$151,'CCNL-appoggio'!G24,'CCNL-appoggio'!H24))</f>
        <v>0</v>
      </c>
      <c r="N24" t="s">
        <v>42</v>
      </c>
      <c r="O24" s="272">
        <v>15.51</v>
      </c>
      <c r="P24" s="272">
        <v>16.559999999999999</v>
      </c>
    </row>
    <row r="25" spans="1:22" x14ac:dyDescent="0.25">
      <c r="N25" t="s">
        <v>43</v>
      </c>
      <c r="O25" s="272">
        <v>15.2</v>
      </c>
      <c r="P25" s="272">
        <v>16.23</v>
      </c>
    </row>
    <row r="26" spans="1:22" x14ac:dyDescent="0.25">
      <c r="N26" t="s">
        <v>44</v>
      </c>
      <c r="O26" s="272">
        <v>14.93</v>
      </c>
      <c r="P26" s="272">
        <v>15.94</v>
      </c>
    </row>
    <row r="27" spans="1:22" x14ac:dyDescent="0.25">
      <c r="N27" t="s">
        <v>5</v>
      </c>
      <c r="O27" s="272">
        <v>14.62</v>
      </c>
      <c r="P27" s="272">
        <v>15.61</v>
      </c>
    </row>
    <row r="28" spans="1:22" x14ac:dyDescent="0.25">
      <c r="N28" t="s">
        <v>4</v>
      </c>
      <c r="O28" s="272">
        <v>14.43</v>
      </c>
      <c r="P28" s="272">
        <v>15.41</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S66"/>
  <sheetViews>
    <sheetView zoomScaleNormal="100" workbookViewId="0">
      <pane ySplit="9" topLeftCell="A22" activePane="bottomLeft" state="frozen"/>
      <selection activeCell="S14" sqref="S14"/>
      <selection pane="bottomLeft" activeCell="S14" sqref="S14"/>
    </sheetView>
  </sheetViews>
  <sheetFormatPr defaultRowHeight="15" x14ac:dyDescent="0.25"/>
  <cols>
    <col min="1" max="1" width="37.42578125" bestFit="1" customWidth="1"/>
    <col min="2" max="2" width="9.140625" style="1"/>
    <col min="9" max="9" width="13.28515625" bestFit="1" customWidth="1"/>
  </cols>
  <sheetData>
    <row r="1" spans="1:19" x14ac:dyDescent="0.25">
      <c r="A1" t="s">
        <v>48</v>
      </c>
      <c r="B1" s="2" t="s">
        <v>74</v>
      </c>
    </row>
    <row r="2" spans="1:19" x14ac:dyDescent="0.25">
      <c r="A2" t="s">
        <v>49</v>
      </c>
      <c r="B2" s="2" t="str">
        <f>+INPUT!C3</f>
        <v>Sicilia</v>
      </c>
    </row>
    <row r="3" spans="1:19" x14ac:dyDescent="0.25">
      <c r="A3" t="s">
        <v>51</v>
      </c>
      <c r="B3" s="3">
        <f>+IF(B1="Generale",0.039,INDEX(C47:C50,MATCH(B2,B47:B50,0)))</f>
        <v>0</v>
      </c>
    </row>
    <row r="4" spans="1:19" x14ac:dyDescent="0.25">
      <c r="B4" s="3"/>
    </row>
    <row r="5" spans="1:19" x14ac:dyDescent="0.25">
      <c r="A5" t="s">
        <v>52</v>
      </c>
      <c r="B5" s="4" t="s">
        <v>78</v>
      </c>
    </row>
    <row r="6" spans="1:19" x14ac:dyDescent="0.25">
      <c r="A6" t="s">
        <v>134</v>
      </c>
      <c r="B6">
        <v>1548</v>
      </c>
      <c r="C6">
        <v>1548</v>
      </c>
    </row>
    <row r="7" spans="1:19" x14ac:dyDescent="0.25">
      <c r="B7"/>
    </row>
    <row r="8" spans="1:19" ht="15.75" thickBot="1" x14ac:dyDescent="0.3"/>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12">
        <v>1184.19</v>
      </c>
      <c r="C10" s="13">
        <v>1195.1300000000001</v>
      </c>
      <c r="D10" s="12">
        <v>1250.81</v>
      </c>
      <c r="E10" s="13">
        <v>1250.81</v>
      </c>
      <c r="F10" s="12">
        <v>1345.21</v>
      </c>
      <c r="G10" s="12">
        <v>1385.5</v>
      </c>
      <c r="H10" s="12">
        <v>1426.41</v>
      </c>
      <c r="I10" s="13">
        <v>1426.41</v>
      </c>
      <c r="J10" s="12">
        <v>1504.67</v>
      </c>
      <c r="K10" s="13">
        <v>1504.67</v>
      </c>
      <c r="L10" s="12">
        <v>1601.8</v>
      </c>
      <c r="M10" s="12">
        <v>1728.9</v>
      </c>
      <c r="N10" s="13">
        <v>1728.9</v>
      </c>
      <c r="O10" s="12">
        <v>1909.51</v>
      </c>
      <c r="P10" s="13">
        <v>1909.51</v>
      </c>
      <c r="Q10" s="12">
        <v>2180.73</v>
      </c>
      <c r="R10" s="14">
        <v>2180.73</v>
      </c>
      <c r="S10" s="1"/>
    </row>
    <row r="11" spans="1:19" x14ac:dyDescent="0.25">
      <c r="A11" s="11" t="s">
        <v>56</v>
      </c>
      <c r="B11" s="15">
        <v>34.86</v>
      </c>
      <c r="C11" s="16">
        <v>40.29</v>
      </c>
      <c r="D11" s="17">
        <v>48.81</v>
      </c>
      <c r="E11" s="16">
        <v>48.81</v>
      </c>
      <c r="F11" s="17">
        <v>55.77</v>
      </c>
      <c r="G11" s="17">
        <v>58.89</v>
      </c>
      <c r="H11" s="17">
        <v>61.98</v>
      </c>
      <c r="I11" s="16">
        <v>61.98</v>
      </c>
      <c r="J11" s="17">
        <v>69.72</v>
      </c>
      <c r="K11" s="16">
        <v>69.72</v>
      </c>
      <c r="L11" s="17">
        <v>80.58</v>
      </c>
      <c r="M11" s="17">
        <v>94.5</v>
      </c>
      <c r="N11" s="16">
        <v>94.5</v>
      </c>
      <c r="O11" s="17">
        <v>118.53</v>
      </c>
      <c r="P11" s="16">
        <v>118.53</v>
      </c>
      <c r="Q11" s="17">
        <v>139.44</v>
      </c>
      <c r="R11" s="18">
        <v>139.44</v>
      </c>
      <c r="S11" s="1"/>
    </row>
    <row r="12" spans="1:19" x14ac:dyDescent="0.25">
      <c r="A12" s="11" t="s">
        <v>57</v>
      </c>
      <c r="B12" s="15"/>
      <c r="C12" s="13"/>
      <c r="D12" s="12"/>
      <c r="E12" s="13"/>
      <c r="F12" s="12"/>
      <c r="G12" s="12"/>
      <c r="H12" s="12"/>
      <c r="I12" s="16">
        <v>61.97</v>
      </c>
      <c r="J12" s="12"/>
      <c r="K12" s="16">
        <v>154.94</v>
      </c>
      <c r="L12" s="12"/>
      <c r="M12" s="12"/>
      <c r="N12" s="16">
        <v>258.23</v>
      </c>
      <c r="O12" s="12"/>
      <c r="P12" s="16">
        <v>258.23</v>
      </c>
      <c r="Q12" s="12"/>
      <c r="R12" s="18">
        <v>232.41</v>
      </c>
      <c r="S12" s="1"/>
    </row>
    <row r="13" spans="1:19" x14ac:dyDescent="0.25">
      <c r="A13" s="11" t="s">
        <v>58</v>
      </c>
      <c r="B13" s="15"/>
      <c r="C13" s="13"/>
      <c r="D13" s="12"/>
      <c r="E13" s="16">
        <v>46.48</v>
      </c>
      <c r="F13" s="12"/>
      <c r="G13" s="12"/>
      <c r="H13" s="12"/>
      <c r="I13" s="13"/>
      <c r="J13" s="12"/>
      <c r="K13" s="13"/>
      <c r="L13" s="12"/>
      <c r="M13" s="17">
        <v>77.47</v>
      </c>
      <c r="N13" s="13"/>
      <c r="O13" s="17">
        <v>154.94</v>
      </c>
      <c r="P13" s="13"/>
      <c r="Q13" s="17">
        <v>232.41</v>
      </c>
      <c r="R13" s="14"/>
      <c r="S13" s="1"/>
    </row>
    <row r="14" spans="1:19" x14ac:dyDescent="0.25">
      <c r="A14" s="11" t="s">
        <v>59</v>
      </c>
      <c r="B14" s="15">
        <v>30.2</v>
      </c>
      <c r="C14" s="16">
        <v>30.48</v>
      </c>
      <c r="D14" s="17">
        <v>31.9</v>
      </c>
      <c r="E14" s="16">
        <v>31.9</v>
      </c>
      <c r="F14" s="17">
        <v>34.299999999999997</v>
      </c>
      <c r="G14" s="17">
        <v>35.33</v>
      </c>
      <c r="H14" s="17">
        <v>36.369999999999997</v>
      </c>
      <c r="I14" s="16">
        <v>36.369999999999997</v>
      </c>
      <c r="J14" s="17">
        <v>38.369999999999997</v>
      </c>
      <c r="K14" s="16">
        <v>38.369999999999997</v>
      </c>
      <c r="L14" s="17">
        <v>40.85</v>
      </c>
      <c r="M14" s="17">
        <v>44.09</v>
      </c>
      <c r="N14" s="16">
        <v>44.09</v>
      </c>
      <c r="O14" s="17">
        <v>48.69</v>
      </c>
      <c r="P14" s="16">
        <v>48.69</v>
      </c>
      <c r="Q14" s="17">
        <v>55.61</v>
      </c>
      <c r="R14" s="18">
        <v>55.61</v>
      </c>
      <c r="S14" s="1"/>
    </row>
    <row r="15" spans="1:19" x14ac:dyDescent="0.25">
      <c r="B15" s="19"/>
      <c r="C15" s="20"/>
      <c r="D15" s="21"/>
      <c r="F15" s="21"/>
      <c r="G15" s="21"/>
      <c r="H15" s="21"/>
      <c r="J15" s="21"/>
      <c r="L15" s="21"/>
      <c r="M15" s="21"/>
      <c r="O15" s="21"/>
      <c r="Q15" s="21"/>
    </row>
    <row r="16" spans="1:19" x14ac:dyDescent="0.25">
      <c r="A16" s="11" t="s">
        <v>60</v>
      </c>
      <c r="B16" s="12">
        <f>+SUM(B10:B14)</f>
        <v>1249.25</v>
      </c>
      <c r="C16" s="13">
        <f t="shared" ref="C16:R16" si="0">+SUM(C10:C14)</f>
        <v>1265.9000000000001</v>
      </c>
      <c r="D16" s="12">
        <f t="shared" si="0"/>
        <v>1331.52</v>
      </c>
      <c r="E16" s="13">
        <f t="shared" si="0"/>
        <v>1378</v>
      </c>
      <c r="F16" s="12">
        <f t="shared" si="0"/>
        <v>1435.28</v>
      </c>
      <c r="G16" s="12">
        <f t="shared" si="0"/>
        <v>1479.72</v>
      </c>
      <c r="H16" s="12">
        <f t="shared" si="0"/>
        <v>1524.76</v>
      </c>
      <c r="I16" s="13">
        <f t="shared" si="0"/>
        <v>1586.73</v>
      </c>
      <c r="J16" s="12">
        <f t="shared" si="0"/>
        <v>1612.76</v>
      </c>
      <c r="K16" s="13">
        <f t="shared" si="0"/>
        <v>1767.7</v>
      </c>
      <c r="L16" s="12">
        <f t="shared" si="0"/>
        <v>1723.2299999999998</v>
      </c>
      <c r="M16" s="12">
        <f t="shared" si="0"/>
        <v>1944.96</v>
      </c>
      <c r="N16" s="13">
        <f t="shared" si="0"/>
        <v>2125.7200000000003</v>
      </c>
      <c r="O16" s="12">
        <f t="shared" si="0"/>
        <v>2231.67</v>
      </c>
      <c r="P16" s="13">
        <f t="shared" si="0"/>
        <v>2334.96</v>
      </c>
      <c r="Q16" s="12">
        <f t="shared" si="0"/>
        <v>2608.19</v>
      </c>
      <c r="R16" s="14">
        <f t="shared" si="0"/>
        <v>2608.19</v>
      </c>
    </row>
    <row r="17" spans="1:18" x14ac:dyDescent="0.25">
      <c r="A17" s="11" t="s">
        <v>61</v>
      </c>
      <c r="B17" s="12">
        <f>+B16*13</f>
        <v>16240.25</v>
      </c>
      <c r="C17" s="13">
        <f t="shared" ref="C17:R17" si="1">+C16*13</f>
        <v>16456.7</v>
      </c>
      <c r="D17" s="12">
        <f t="shared" si="1"/>
        <v>17309.759999999998</v>
      </c>
      <c r="E17" s="13">
        <f t="shared" si="1"/>
        <v>17914</v>
      </c>
      <c r="F17" s="12">
        <f t="shared" si="1"/>
        <v>18658.64</v>
      </c>
      <c r="G17" s="12">
        <f t="shared" si="1"/>
        <v>19236.36</v>
      </c>
      <c r="H17" s="12">
        <f t="shared" si="1"/>
        <v>19821.88</v>
      </c>
      <c r="I17" s="13">
        <f t="shared" si="1"/>
        <v>20627.490000000002</v>
      </c>
      <c r="J17" s="12">
        <f t="shared" si="1"/>
        <v>20965.88</v>
      </c>
      <c r="K17" s="13">
        <f t="shared" si="1"/>
        <v>22980.100000000002</v>
      </c>
      <c r="L17" s="12">
        <f t="shared" si="1"/>
        <v>22401.989999999998</v>
      </c>
      <c r="M17" s="12">
        <f t="shared" si="1"/>
        <v>25284.48</v>
      </c>
      <c r="N17" s="13">
        <f t="shared" si="1"/>
        <v>27634.360000000004</v>
      </c>
      <c r="O17" s="12">
        <f t="shared" si="1"/>
        <v>29011.71</v>
      </c>
      <c r="P17" s="13">
        <f t="shared" si="1"/>
        <v>30354.48</v>
      </c>
      <c r="Q17" s="12">
        <f t="shared" si="1"/>
        <v>33906.47</v>
      </c>
      <c r="R17" s="14">
        <f t="shared" si="1"/>
        <v>33906.47</v>
      </c>
    </row>
    <row r="18" spans="1:18" x14ac:dyDescent="0.25">
      <c r="B18" s="22"/>
      <c r="D18" s="21"/>
      <c r="F18" s="21"/>
      <c r="G18" s="21"/>
      <c r="H18" s="21"/>
      <c r="J18" s="21"/>
      <c r="L18" s="21"/>
      <c r="M18" s="21"/>
      <c r="O18" s="21"/>
      <c r="Q18" s="21"/>
    </row>
    <row r="19" spans="1:18" x14ac:dyDescent="0.25">
      <c r="A19" s="11" t="s">
        <v>62</v>
      </c>
      <c r="B19" s="12"/>
      <c r="C19" s="23"/>
      <c r="D19" s="24"/>
      <c r="E19" s="23"/>
      <c r="F19" s="24"/>
      <c r="G19" s="24"/>
      <c r="H19" s="24"/>
      <c r="I19" s="23"/>
      <c r="J19" s="24"/>
      <c r="K19" s="23"/>
      <c r="L19" s="24"/>
      <c r="M19" s="24"/>
      <c r="N19" s="23"/>
      <c r="O19" s="24"/>
      <c r="P19" s="23"/>
      <c r="Q19" s="24"/>
      <c r="R19" s="25"/>
    </row>
    <row r="20" spans="1:18" x14ac:dyDescent="0.25">
      <c r="A20" s="11" t="s">
        <v>63</v>
      </c>
      <c r="B20" s="15">
        <f>+B17*0.269</f>
        <v>4368.6272500000005</v>
      </c>
      <c r="C20" s="26">
        <f t="shared" ref="C20:R20" si="2">+C17*0.269</f>
        <v>4426.8523000000005</v>
      </c>
      <c r="D20" s="15">
        <f t="shared" si="2"/>
        <v>4656.3254399999996</v>
      </c>
      <c r="E20" s="26">
        <f t="shared" si="2"/>
        <v>4818.866</v>
      </c>
      <c r="F20" s="15">
        <f t="shared" si="2"/>
        <v>5019.1741600000005</v>
      </c>
      <c r="G20" s="15">
        <f t="shared" si="2"/>
        <v>5174.5808400000005</v>
      </c>
      <c r="H20" s="15">
        <f t="shared" si="2"/>
        <v>5332.0857200000009</v>
      </c>
      <c r="I20" s="26">
        <f t="shared" si="2"/>
        <v>5548.7948100000003</v>
      </c>
      <c r="J20" s="15">
        <f t="shared" si="2"/>
        <v>5639.8217200000008</v>
      </c>
      <c r="K20" s="26">
        <f t="shared" si="2"/>
        <v>6181.6469000000006</v>
      </c>
      <c r="L20" s="15">
        <f t="shared" si="2"/>
        <v>6026.1353099999997</v>
      </c>
      <c r="M20" s="15">
        <f t="shared" si="2"/>
        <v>6801.5251200000002</v>
      </c>
      <c r="N20" s="26">
        <f t="shared" si="2"/>
        <v>7433.6428400000013</v>
      </c>
      <c r="O20" s="15">
        <f t="shared" si="2"/>
        <v>7804.1499899999999</v>
      </c>
      <c r="P20" s="26">
        <f t="shared" si="2"/>
        <v>8165.3551200000002</v>
      </c>
      <c r="Q20" s="15">
        <f t="shared" si="2"/>
        <v>9120.8404300000002</v>
      </c>
      <c r="R20" s="27">
        <f t="shared" si="2"/>
        <v>9120.8404300000002</v>
      </c>
    </row>
    <row r="21" spans="1:18" x14ac:dyDescent="0.25">
      <c r="A21" s="11" t="s">
        <v>64</v>
      </c>
      <c r="B21" s="15">
        <f>+B17*0.03</f>
        <v>487.20749999999998</v>
      </c>
      <c r="C21" s="26">
        <f t="shared" ref="C21:R21" si="3">+C17*0.03</f>
        <v>493.70100000000002</v>
      </c>
      <c r="D21" s="15">
        <f t="shared" si="3"/>
        <v>519.29279999999994</v>
      </c>
      <c r="E21" s="26">
        <f t="shared" si="3"/>
        <v>537.41999999999996</v>
      </c>
      <c r="F21" s="15">
        <f t="shared" si="3"/>
        <v>559.75919999999996</v>
      </c>
      <c r="G21" s="15">
        <f t="shared" si="3"/>
        <v>577.09079999999994</v>
      </c>
      <c r="H21" s="15">
        <f t="shared" si="3"/>
        <v>594.65639999999996</v>
      </c>
      <c r="I21" s="26">
        <f t="shared" si="3"/>
        <v>618.82470000000001</v>
      </c>
      <c r="J21" s="15">
        <f t="shared" si="3"/>
        <v>628.97640000000001</v>
      </c>
      <c r="K21" s="26">
        <f t="shared" si="3"/>
        <v>689.40300000000002</v>
      </c>
      <c r="L21" s="15">
        <f t="shared" si="3"/>
        <v>672.05969999999991</v>
      </c>
      <c r="M21" s="15">
        <f t="shared" si="3"/>
        <v>758.53440000000001</v>
      </c>
      <c r="N21" s="26">
        <f t="shared" si="3"/>
        <v>829.03080000000011</v>
      </c>
      <c r="O21" s="15">
        <f t="shared" si="3"/>
        <v>870.35129999999992</v>
      </c>
      <c r="P21" s="26">
        <f t="shared" si="3"/>
        <v>910.63439999999991</v>
      </c>
      <c r="Q21" s="15">
        <f t="shared" si="3"/>
        <v>1017.1941</v>
      </c>
      <c r="R21" s="27">
        <f t="shared" si="3"/>
        <v>1017.1941</v>
      </c>
    </row>
    <row r="22" spans="1:18" x14ac:dyDescent="0.25">
      <c r="A22" s="11" t="s">
        <v>65</v>
      </c>
      <c r="B22" s="12">
        <f>+B21+B20</f>
        <v>4855.83475</v>
      </c>
      <c r="C22" s="13">
        <f t="shared" ref="C22:R22" si="4">+C21+C20</f>
        <v>4920.5533000000005</v>
      </c>
      <c r="D22" s="12">
        <f t="shared" si="4"/>
        <v>5175.6182399999998</v>
      </c>
      <c r="E22" s="13">
        <f t="shared" si="4"/>
        <v>5356.2860000000001</v>
      </c>
      <c r="F22" s="12">
        <f t="shared" si="4"/>
        <v>5578.9333600000009</v>
      </c>
      <c r="G22" s="12">
        <f t="shared" si="4"/>
        <v>5751.6716400000005</v>
      </c>
      <c r="H22" s="12">
        <f t="shared" si="4"/>
        <v>5926.7421200000008</v>
      </c>
      <c r="I22" s="13">
        <f t="shared" si="4"/>
        <v>6167.6195100000004</v>
      </c>
      <c r="J22" s="12">
        <f t="shared" si="4"/>
        <v>6268.7981200000013</v>
      </c>
      <c r="K22" s="13">
        <f t="shared" si="4"/>
        <v>6871.0499000000009</v>
      </c>
      <c r="L22" s="12">
        <f t="shared" si="4"/>
        <v>6698.1950099999995</v>
      </c>
      <c r="M22" s="12">
        <f t="shared" si="4"/>
        <v>7560.0595200000007</v>
      </c>
      <c r="N22" s="13">
        <f t="shared" si="4"/>
        <v>8262.6736400000009</v>
      </c>
      <c r="O22" s="12">
        <f t="shared" si="4"/>
        <v>8674.5012900000002</v>
      </c>
      <c r="P22" s="13">
        <f t="shared" si="4"/>
        <v>9075.9895199999992</v>
      </c>
      <c r="Q22" s="12">
        <f t="shared" si="4"/>
        <v>10138.034530000001</v>
      </c>
      <c r="R22" s="14">
        <f t="shared" si="4"/>
        <v>10138.034530000001</v>
      </c>
    </row>
    <row r="23" spans="1:18" x14ac:dyDescent="0.25">
      <c r="B23" s="22"/>
      <c r="D23" s="21"/>
      <c r="F23" s="21"/>
      <c r="G23" s="21"/>
      <c r="H23" s="21"/>
      <c r="J23" s="21"/>
      <c r="L23" s="21"/>
      <c r="M23" s="21"/>
      <c r="O23" s="21"/>
      <c r="Q23" s="21"/>
    </row>
    <row r="24" spans="1:18" x14ac:dyDescent="0.25">
      <c r="A24" s="11" t="s">
        <v>66</v>
      </c>
      <c r="B24" s="12">
        <f>+B16*0.962962</f>
        <v>1202.9802784999999</v>
      </c>
      <c r="C24" s="13">
        <f t="shared" ref="C24:R24" si="5">+C16*0.962962</f>
        <v>1219.0135958000001</v>
      </c>
      <c r="D24" s="12">
        <f t="shared" si="5"/>
        <v>1282.20316224</v>
      </c>
      <c r="E24" s="13">
        <f t="shared" si="5"/>
        <v>1326.961636</v>
      </c>
      <c r="F24" s="12">
        <f t="shared" si="5"/>
        <v>1382.12009936</v>
      </c>
      <c r="G24" s="12">
        <f t="shared" si="5"/>
        <v>1424.9141306399999</v>
      </c>
      <c r="H24" s="12">
        <f t="shared" si="5"/>
        <v>1468.28593912</v>
      </c>
      <c r="I24" s="13">
        <f t="shared" si="5"/>
        <v>1527.9606942600001</v>
      </c>
      <c r="J24" s="12">
        <f t="shared" si="5"/>
        <v>1553.0265951199999</v>
      </c>
      <c r="K24" s="13">
        <f t="shared" si="5"/>
        <v>1702.2279274</v>
      </c>
      <c r="L24" s="12">
        <f t="shared" si="5"/>
        <v>1659.4050072599998</v>
      </c>
      <c r="M24" s="12">
        <f t="shared" si="5"/>
        <v>1872.92257152</v>
      </c>
      <c r="N24" s="13">
        <f t="shared" si="5"/>
        <v>2046.9875826400003</v>
      </c>
      <c r="O24" s="12">
        <f t="shared" si="5"/>
        <v>2149.0134065400002</v>
      </c>
      <c r="P24" s="13">
        <f t="shared" si="5"/>
        <v>2248.4777515199999</v>
      </c>
      <c r="Q24" s="12">
        <f t="shared" si="5"/>
        <v>2511.5878587799998</v>
      </c>
      <c r="R24" s="14">
        <f t="shared" si="5"/>
        <v>2511.5878587799998</v>
      </c>
    </row>
    <row r="25" spans="1:18" x14ac:dyDescent="0.25">
      <c r="A25" s="11" t="s">
        <v>67</v>
      </c>
      <c r="B25" s="15">
        <f>+B24*0.198175</f>
        <v>238.40061669173747</v>
      </c>
      <c r="C25" s="26">
        <f t="shared" ref="C25:R25" si="6">+C24*0.198175</f>
        <v>241.57801934766499</v>
      </c>
      <c r="D25" s="15">
        <f t="shared" si="6"/>
        <v>254.100611676912</v>
      </c>
      <c r="E25" s="26">
        <f t="shared" si="6"/>
        <v>262.97062221429996</v>
      </c>
      <c r="F25" s="15">
        <f t="shared" si="6"/>
        <v>273.90165069066802</v>
      </c>
      <c r="G25" s="15">
        <f t="shared" si="6"/>
        <v>282.38235783958197</v>
      </c>
      <c r="H25" s="15">
        <f t="shared" si="6"/>
        <v>290.97756598510597</v>
      </c>
      <c r="I25" s="26">
        <f t="shared" si="6"/>
        <v>302.8036105849755</v>
      </c>
      <c r="J25" s="15">
        <f t="shared" si="6"/>
        <v>307.77104548790595</v>
      </c>
      <c r="K25" s="26">
        <f t="shared" si="6"/>
        <v>337.33901951249499</v>
      </c>
      <c r="L25" s="15">
        <f t="shared" si="6"/>
        <v>328.85258731375046</v>
      </c>
      <c r="M25" s="15">
        <f t="shared" si="6"/>
        <v>371.16643061097597</v>
      </c>
      <c r="N25" s="26">
        <f t="shared" si="6"/>
        <v>405.661764189682</v>
      </c>
      <c r="O25" s="15">
        <f t="shared" si="6"/>
        <v>425.88073184106452</v>
      </c>
      <c r="P25" s="26">
        <f t="shared" si="6"/>
        <v>445.59207840747592</v>
      </c>
      <c r="Q25" s="15">
        <f t="shared" si="6"/>
        <v>497.73392391372641</v>
      </c>
      <c r="R25" s="27">
        <f t="shared" si="6"/>
        <v>497.73392391372641</v>
      </c>
    </row>
    <row r="26" spans="1:18" x14ac:dyDescent="0.25">
      <c r="A26" s="11" t="s">
        <v>68</v>
      </c>
      <c r="B26" s="15">
        <f>+B17*0.01</f>
        <v>162.4025</v>
      </c>
      <c r="C26" s="26">
        <f t="shared" ref="C26:R26" si="7">+C17*0.01</f>
        <v>164.56700000000001</v>
      </c>
      <c r="D26" s="15">
        <f t="shared" si="7"/>
        <v>173.0976</v>
      </c>
      <c r="E26" s="26">
        <f t="shared" si="7"/>
        <v>179.14000000000001</v>
      </c>
      <c r="F26" s="15">
        <f t="shared" si="7"/>
        <v>186.5864</v>
      </c>
      <c r="G26" s="15">
        <f t="shared" si="7"/>
        <v>192.36360000000002</v>
      </c>
      <c r="H26" s="15">
        <f t="shared" si="7"/>
        <v>198.21880000000002</v>
      </c>
      <c r="I26" s="26">
        <f t="shared" si="7"/>
        <v>206.27490000000003</v>
      </c>
      <c r="J26" s="15">
        <f t="shared" si="7"/>
        <v>209.65880000000001</v>
      </c>
      <c r="K26" s="26">
        <f t="shared" si="7"/>
        <v>229.80100000000002</v>
      </c>
      <c r="L26" s="15">
        <f t="shared" si="7"/>
        <v>224.01989999999998</v>
      </c>
      <c r="M26" s="15">
        <f t="shared" si="7"/>
        <v>252.84479999999999</v>
      </c>
      <c r="N26" s="26">
        <f t="shared" si="7"/>
        <v>276.34360000000004</v>
      </c>
      <c r="O26" s="15">
        <f t="shared" si="7"/>
        <v>290.11709999999999</v>
      </c>
      <c r="P26" s="26">
        <f t="shared" si="7"/>
        <v>303.54480000000001</v>
      </c>
      <c r="Q26" s="15">
        <f t="shared" si="7"/>
        <v>339.06470000000002</v>
      </c>
      <c r="R26" s="27">
        <f t="shared" si="7"/>
        <v>339.06470000000002</v>
      </c>
    </row>
    <row r="27" spans="1:18" x14ac:dyDescent="0.25">
      <c r="A27" s="11" t="s">
        <v>69</v>
      </c>
      <c r="B27" s="28">
        <v>60</v>
      </c>
      <c r="C27" s="29">
        <v>60</v>
      </c>
      <c r="D27" s="28">
        <v>60</v>
      </c>
      <c r="E27" s="29">
        <v>60</v>
      </c>
      <c r="F27" s="28">
        <v>60</v>
      </c>
      <c r="G27" s="28">
        <v>60</v>
      </c>
      <c r="H27" s="28">
        <v>60</v>
      </c>
      <c r="I27" s="29">
        <v>60</v>
      </c>
      <c r="J27" s="28">
        <v>60</v>
      </c>
      <c r="K27" s="29">
        <v>60</v>
      </c>
      <c r="L27" s="28">
        <v>60</v>
      </c>
      <c r="M27" s="28">
        <v>60</v>
      </c>
      <c r="N27" s="29">
        <v>60</v>
      </c>
      <c r="O27" s="28">
        <v>60</v>
      </c>
      <c r="P27" s="29">
        <v>60</v>
      </c>
      <c r="Q27" s="28">
        <v>60</v>
      </c>
      <c r="R27" s="30">
        <v>60</v>
      </c>
    </row>
    <row r="28" spans="1:18" x14ac:dyDescent="0.25">
      <c r="B28" s="22"/>
      <c r="D28" s="21"/>
      <c r="F28" s="21"/>
      <c r="G28" s="21"/>
      <c r="H28" s="21"/>
      <c r="J28" s="21"/>
      <c r="L28" s="21"/>
      <c r="M28" s="21"/>
      <c r="O28" s="21"/>
      <c r="Q28" s="21"/>
    </row>
    <row r="29" spans="1:18" x14ac:dyDescent="0.25">
      <c r="A29" s="11" t="s">
        <v>70</v>
      </c>
      <c r="B29" s="12">
        <f>+B17+B22+B24+B25+B26+B27</f>
        <v>22759.86814519174</v>
      </c>
      <c r="C29" s="13">
        <f t="shared" ref="C29:R29" si="8">+C17+C22+C24+C25+C26+C27</f>
        <v>23062.411915147663</v>
      </c>
      <c r="D29" s="12">
        <f t="shared" si="8"/>
        <v>24254.779613916911</v>
      </c>
      <c r="E29" s="13">
        <f t="shared" si="8"/>
        <v>25099.358258214299</v>
      </c>
      <c r="F29" s="12">
        <f t="shared" si="8"/>
        <v>26140.181510050668</v>
      </c>
      <c r="G29" s="12">
        <f t="shared" si="8"/>
        <v>26947.691728479585</v>
      </c>
      <c r="H29" s="12">
        <f t="shared" si="8"/>
        <v>27766.104425105106</v>
      </c>
      <c r="I29" s="13">
        <f t="shared" si="8"/>
        <v>28892.148714844978</v>
      </c>
      <c r="J29" s="12">
        <f t="shared" si="8"/>
        <v>29365.134560607908</v>
      </c>
      <c r="K29" s="13">
        <f t="shared" si="8"/>
        <v>32180.517846912498</v>
      </c>
      <c r="L29" s="12">
        <f t="shared" si="8"/>
        <v>31372.462504573748</v>
      </c>
      <c r="M29" s="12">
        <f t="shared" si="8"/>
        <v>35401.473322130973</v>
      </c>
      <c r="N29" s="13">
        <f t="shared" si="8"/>
        <v>38686.026586829692</v>
      </c>
      <c r="O29" s="12">
        <f t="shared" si="8"/>
        <v>40611.222528381062</v>
      </c>
      <c r="P29" s="13">
        <f t="shared" si="8"/>
        <v>42488.084149927476</v>
      </c>
      <c r="Q29" s="12">
        <f t="shared" si="8"/>
        <v>47452.891012693734</v>
      </c>
      <c r="R29" s="14">
        <f t="shared" si="8"/>
        <v>47452.891012693734</v>
      </c>
    </row>
    <row r="30" spans="1:18" x14ac:dyDescent="0.25">
      <c r="A30" s="11" t="s">
        <v>52</v>
      </c>
      <c r="B30" s="12">
        <f>+IF($B$5="Si",B55,0)</f>
        <v>0</v>
      </c>
      <c r="C30" s="13">
        <f t="shared" ref="C30:R30" si="9">+IF($B$5="Si",C55,0)</f>
        <v>0</v>
      </c>
      <c r="D30" s="12">
        <f t="shared" si="9"/>
        <v>0</v>
      </c>
      <c r="E30" s="13">
        <f t="shared" si="9"/>
        <v>0</v>
      </c>
      <c r="F30" s="12">
        <f t="shared" si="9"/>
        <v>0</v>
      </c>
      <c r="G30" s="12">
        <f t="shared" si="9"/>
        <v>0</v>
      </c>
      <c r="H30" s="12">
        <f t="shared" si="9"/>
        <v>0</v>
      </c>
      <c r="I30" s="13">
        <f t="shared" si="9"/>
        <v>0</v>
      </c>
      <c r="J30" s="12">
        <f t="shared" si="9"/>
        <v>0</v>
      </c>
      <c r="K30" s="13">
        <f t="shared" si="9"/>
        <v>0</v>
      </c>
      <c r="L30" s="12">
        <f t="shared" si="9"/>
        <v>0</v>
      </c>
      <c r="M30" s="12">
        <f t="shared" si="9"/>
        <v>0</v>
      </c>
      <c r="N30" s="13">
        <f t="shared" si="9"/>
        <v>0</v>
      </c>
      <c r="O30" s="12">
        <f t="shared" si="9"/>
        <v>0</v>
      </c>
      <c r="P30" s="13">
        <f t="shared" si="9"/>
        <v>0</v>
      </c>
      <c r="Q30" s="12">
        <f t="shared" si="9"/>
        <v>0</v>
      </c>
      <c r="R30" s="14">
        <f t="shared" si="9"/>
        <v>0</v>
      </c>
    </row>
    <row r="31" spans="1:18" x14ac:dyDescent="0.25">
      <c r="B31" s="22"/>
      <c r="C31" s="1"/>
      <c r="D31" s="22"/>
      <c r="E31" s="1"/>
      <c r="F31" s="22"/>
      <c r="G31" s="22"/>
      <c r="H31" s="22"/>
      <c r="I31" s="1"/>
      <c r="J31" s="22"/>
      <c r="K31" s="1"/>
      <c r="L31" s="22"/>
      <c r="M31" s="22"/>
      <c r="N31" s="1"/>
      <c r="O31" s="22"/>
      <c r="P31" s="1"/>
      <c r="Q31" s="22"/>
      <c r="R31" s="1"/>
    </row>
    <row r="32" spans="1:18" x14ac:dyDescent="0.25">
      <c r="A32" s="11" t="s">
        <v>71</v>
      </c>
      <c r="B32" s="12">
        <f>+B30+B29</f>
        <v>22759.86814519174</v>
      </c>
      <c r="C32" s="13">
        <f t="shared" ref="C32:R32" si="10">+C30+C29</f>
        <v>23062.411915147663</v>
      </c>
      <c r="D32" s="12">
        <f t="shared" si="10"/>
        <v>24254.779613916911</v>
      </c>
      <c r="E32" s="13">
        <f t="shared" si="10"/>
        <v>25099.358258214299</v>
      </c>
      <c r="F32" s="12">
        <f t="shared" si="10"/>
        <v>26140.181510050668</v>
      </c>
      <c r="G32" s="12">
        <f t="shared" si="10"/>
        <v>26947.691728479585</v>
      </c>
      <c r="H32" s="12">
        <f t="shared" si="10"/>
        <v>27766.104425105106</v>
      </c>
      <c r="I32" s="13">
        <f t="shared" si="10"/>
        <v>28892.148714844978</v>
      </c>
      <c r="J32" s="12">
        <f t="shared" si="10"/>
        <v>29365.134560607908</v>
      </c>
      <c r="K32" s="13">
        <f t="shared" si="10"/>
        <v>32180.517846912498</v>
      </c>
      <c r="L32" s="12">
        <f t="shared" si="10"/>
        <v>31372.462504573748</v>
      </c>
      <c r="M32" s="12">
        <f t="shared" si="10"/>
        <v>35401.473322130973</v>
      </c>
      <c r="N32" s="13">
        <f t="shared" si="10"/>
        <v>38686.026586829692</v>
      </c>
      <c r="O32" s="12">
        <f t="shared" si="10"/>
        <v>40611.222528381062</v>
      </c>
      <c r="P32" s="13">
        <f t="shared" si="10"/>
        <v>42488.084149927476</v>
      </c>
      <c r="Q32" s="12">
        <f t="shared" si="10"/>
        <v>47452.891012693734</v>
      </c>
      <c r="R32" s="14">
        <f t="shared" si="10"/>
        <v>47452.891012693734</v>
      </c>
    </row>
    <row r="33" spans="1:18" x14ac:dyDescent="0.25">
      <c r="B33" s="22"/>
      <c r="C33" s="1"/>
      <c r="D33" s="22"/>
      <c r="E33" s="1"/>
      <c r="F33" s="22"/>
      <c r="G33" s="22"/>
      <c r="H33" s="22"/>
      <c r="I33" s="1"/>
      <c r="J33" s="22"/>
      <c r="K33" s="1"/>
      <c r="L33" s="22"/>
      <c r="M33" s="22"/>
      <c r="N33" s="1"/>
      <c r="O33" s="22"/>
      <c r="P33" s="1"/>
      <c r="Q33" s="22"/>
      <c r="R33" s="1"/>
    </row>
    <row r="34" spans="1:18" x14ac:dyDescent="0.25">
      <c r="A34" s="11" t="s">
        <v>21</v>
      </c>
      <c r="B34" s="12">
        <f>+ROUND(B32/$B$6,2)</f>
        <v>14.7</v>
      </c>
      <c r="C34" s="13">
        <f t="shared" ref="C34:R34" si="11">+ROUND(C32/$B$6,2)</f>
        <v>14.9</v>
      </c>
      <c r="D34" s="12">
        <f t="shared" si="11"/>
        <v>15.67</v>
      </c>
      <c r="E34" s="13">
        <f t="shared" si="11"/>
        <v>16.21</v>
      </c>
      <c r="F34" s="12">
        <f t="shared" si="11"/>
        <v>16.89</v>
      </c>
      <c r="G34" s="12">
        <f t="shared" si="11"/>
        <v>17.41</v>
      </c>
      <c r="H34" s="12">
        <f t="shared" si="11"/>
        <v>17.940000000000001</v>
      </c>
      <c r="I34" s="13">
        <f t="shared" si="11"/>
        <v>18.66</v>
      </c>
      <c r="J34" s="12">
        <f t="shared" si="11"/>
        <v>18.97</v>
      </c>
      <c r="K34" s="13">
        <f t="shared" si="11"/>
        <v>20.79</v>
      </c>
      <c r="L34" s="12">
        <f t="shared" si="11"/>
        <v>20.27</v>
      </c>
      <c r="M34" s="12">
        <f t="shared" si="11"/>
        <v>22.87</v>
      </c>
      <c r="N34" s="13">
        <f t="shared" si="11"/>
        <v>24.99</v>
      </c>
      <c r="O34" s="12">
        <f t="shared" si="11"/>
        <v>26.23</v>
      </c>
      <c r="P34" s="13">
        <f t="shared" si="11"/>
        <v>27.45</v>
      </c>
      <c r="Q34" s="12">
        <f t="shared" si="11"/>
        <v>30.65</v>
      </c>
      <c r="R34" s="14">
        <f t="shared" si="11"/>
        <v>30.65</v>
      </c>
    </row>
    <row r="35" spans="1:18" x14ac:dyDescent="0.25">
      <c r="A35" s="11" t="s">
        <v>121</v>
      </c>
      <c r="B35" s="12">
        <f>+B32-B21-B26</f>
        <v>22110.258145191739</v>
      </c>
      <c r="C35" s="13">
        <f t="shared" ref="C35:R35" si="12">+C32-C21-C26</f>
        <v>22404.143915147662</v>
      </c>
      <c r="D35" s="12">
        <f t="shared" si="12"/>
        <v>23562.389213916911</v>
      </c>
      <c r="E35" s="13">
        <f t="shared" si="12"/>
        <v>24382.798258214301</v>
      </c>
      <c r="F35" s="12">
        <f t="shared" si="12"/>
        <v>25393.835910050668</v>
      </c>
      <c r="G35" s="12">
        <f t="shared" si="12"/>
        <v>26178.237328479587</v>
      </c>
      <c r="H35" s="12">
        <f t="shared" si="12"/>
        <v>26973.229225105108</v>
      </c>
      <c r="I35" s="13">
        <f t="shared" si="12"/>
        <v>28067.049114844976</v>
      </c>
      <c r="J35" s="12">
        <f t="shared" si="12"/>
        <v>28526.499360607908</v>
      </c>
      <c r="K35" s="13">
        <f t="shared" si="12"/>
        <v>31261.313846912501</v>
      </c>
      <c r="L35" s="12">
        <f t="shared" si="12"/>
        <v>30476.382904573748</v>
      </c>
      <c r="M35" s="12">
        <f t="shared" si="12"/>
        <v>34390.094122130977</v>
      </c>
      <c r="N35" s="13">
        <f t="shared" si="12"/>
        <v>37580.652186829691</v>
      </c>
      <c r="O35" s="12">
        <f t="shared" si="12"/>
        <v>39450.754128381057</v>
      </c>
      <c r="P35" s="13">
        <f t="shared" si="12"/>
        <v>41273.90494992747</v>
      </c>
      <c r="Q35" s="12">
        <f t="shared" si="12"/>
        <v>46096.63221269373</v>
      </c>
      <c r="R35" s="14">
        <f t="shared" si="12"/>
        <v>46096.63221269373</v>
      </c>
    </row>
    <row r="36" spans="1:18" x14ac:dyDescent="0.25">
      <c r="A36" s="11" t="s">
        <v>122</v>
      </c>
      <c r="B36" s="12">
        <f>+ROUND(B35/$B$6,2)</f>
        <v>14.28</v>
      </c>
      <c r="C36" s="13">
        <f t="shared" ref="C36:R36" si="13">+ROUND(C35/$B$6,2)</f>
        <v>14.47</v>
      </c>
      <c r="D36" s="12">
        <f t="shared" si="13"/>
        <v>15.22</v>
      </c>
      <c r="E36" s="13">
        <f t="shared" si="13"/>
        <v>15.75</v>
      </c>
      <c r="F36" s="12">
        <f t="shared" si="13"/>
        <v>16.399999999999999</v>
      </c>
      <c r="G36" s="12">
        <f t="shared" si="13"/>
        <v>16.91</v>
      </c>
      <c r="H36" s="12">
        <f t="shared" si="13"/>
        <v>17.420000000000002</v>
      </c>
      <c r="I36" s="13">
        <f t="shared" si="13"/>
        <v>18.13</v>
      </c>
      <c r="J36" s="12">
        <f t="shared" si="13"/>
        <v>18.43</v>
      </c>
      <c r="K36" s="13">
        <f t="shared" si="13"/>
        <v>20.190000000000001</v>
      </c>
      <c r="L36" s="12">
        <f t="shared" si="13"/>
        <v>19.690000000000001</v>
      </c>
      <c r="M36" s="12">
        <f t="shared" si="13"/>
        <v>22.22</v>
      </c>
      <c r="N36" s="13">
        <f t="shared" si="13"/>
        <v>24.28</v>
      </c>
      <c r="O36" s="12">
        <f t="shared" si="13"/>
        <v>25.48</v>
      </c>
      <c r="P36" s="13">
        <f t="shared" si="13"/>
        <v>26.66</v>
      </c>
      <c r="Q36" s="12">
        <f t="shared" si="13"/>
        <v>29.78</v>
      </c>
      <c r="R36" s="14">
        <f t="shared" si="13"/>
        <v>29.78</v>
      </c>
    </row>
    <row r="37" spans="1:18" x14ac:dyDescent="0.25">
      <c r="A37" s="11"/>
      <c r="B37" s="12">
        <f>+B36*0.039</f>
        <v>0.55691999999999997</v>
      </c>
      <c r="C37" s="13">
        <f t="shared" ref="C37:R37" si="14">+C36*0.039</f>
        <v>0.56433</v>
      </c>
      <c r="D37" s="12">
        <f t="shared" si="14"/>
        <v>0.59358</v>
      </c>
      <c r="E37" s="13">
        <f t="shared" si="14"/>
        <v>0.61424999999999996</v>
      </c>
      <c r="F37" s="12">
        <f t="shared" si="14"/>
        <v>0.63959999999999995</v>
      </c>
      <c r="G37" s="12">
        <f t="shared" si="14"/>
        <v>0.65949000000000002</v>
      </c>
      <c r="H37" s="12">
        <f t="shared" si="14"/>
        <v>0.67938000000000009</v>
      </c>
      <c r="I37" s="13">
        <f t="shared" si="14"/>
        <v>0.70706999999999998</v>
      </c>
      <c r="J37" s="12">
        <f t="shared" si="14"/>
        <v>0.71877000000000002</v>
      </c>
      <c r="K37" s="13">
        <f t="shared" si="14"/>
        <v>0.78741000000000005</v>
      </c>
      <c r="L37" s="12">
        <f t="shared" si="14"/>
        <v>0.76791000000000009</v>
      </c>
      <c r="M37" s="12">
        <f t="shared" si="14"/>
        <v>0.86657999999999991</v>
      </c>
      <c r="N37" s="13">
        <f t="shared" si="14"/>
        <v>0.94692000000000009</v>
      </c>
      <c r="O37" s="12">
        <f t="shared" si="14"/>
        <v>0.99372000000000005</v>
      </c>
      <c r="P37" s="13">
        <f t="shared" si="14"/>
        <v>1.0397400000000001</v>
      </c>
      <c r="Q37" s="12">
        <f t="shared" si="14"/>
        <v>1.1614200000000001</v>
      </c>
      <c r="R37" s="14">
        <f t="shared" si="14"/>
        <v>1.1614200000000001</v>
      </c>
    </row>
    <row r="38" spans="1:18" x14ac:dyDescent="0.25">
      <c r="A38" s="11" t="s">
        <v>72</v>
      </c>
      <c r="B38" s="12">
        <f>+ROUND(B36*$B$3,2)</f>
        <v>0</v>
      </c>
      <c r="C38" s="13">
        <f t="shared" ref="C38:R38" si="15">+ROUND(C36*$B$3,2)</f>
        <v>0</v>
      </c>
      <c r="D38" s="12">
        <f t="shared" si="15"/>
        <v>0</v>
      </c>
      <c r="E38" s="13">
        <f t="shared" si="15"/>
        <v>0</v>
      </c>
      <c r="F38" s="12">
        <f t="shared" si="15"/>
        <v>0</v>
      </c>
      <c r="G38" s="12">
        <f t="shared" si="15"/>
        <v>0</v>
      </c>
      <c r="H38" s="12">
        <f t="shared" si="15"/>
        <v>0</v>
      </c>
      <c r="I38" s="13">
        <f t="shared" si="15"/>
        <v>0</v>
      </c>
      <c r="J38" s="12">
        <f t="shared" si="15"/>
        <v>0</v>
      </c>
      <c r="K38" s="13">
        <f t="shared" si="15"/>
        <v>0</v>
      </c>
      <c r="L38" s="12">
        <f t="shared" si="15"/>
        <v>0</v>
      </c>
      <c r="M38" s="12">
        <f t="shared" si="15"/>
        <v>0</v>
      </c>
      <c r="N38" s="13">
        <f t="shared" si="15"/>
        <v>0</v>
      </c>
      <c r="O38" s="12">
        <f t="shared" si="15"/>
        <v>0</v>
      </c>
      <c r="P38" s="13">
        <f t="shared" si="15"/>
        <v>0</v>
      </c>
      <c r="Q38" s="12">
        <f t="shared" si="15"/>
        <v>0</v>
      </c>
      <c r="R38" s="14">
        <f t="shared" si="15"/>
        <v>0</v>
      </c>
    </row>
    <row r="39" spans="1:18" x14ac:dyDescent="0.25">
      <c r="A39" s="31" t="s">
        <v>73</v>
      </c>
      <c r="B39" s="32">
        <f>+B38+B34</f>
        <v>14.7</v>
      </c>
      <c r="C39" s="33">
        <f t="shared" ref="C39:R39" si="16">+C38+C34</f>
        <v>14.9</v>
      </c>
      <c r="D39" s="32">
        <f t="shared" si="16"/>
        <v>15.67</v>
      </c>
      <c r="E39" s="33">
        <f t="shared" si="16"/>
        <v>16.21</v>
      </c>
      <c r="F39" s="32">
        <f t="shared" si="16"/>
        <v>16.89</v>
      </c>
      <c r="G39" s="32">
        <f t="shared" si="16"/>
        <v>17.41</v>
      </c>
      <c r="H39" s="32">
        <f t="shared" si="16"/>
        <v>17.940000000000001</v>
      </c>
      <c r="I39" s="33">
        <f t="shared" si="16"/>
        <v>18.66</v>
      </c>
      <c r="J39" s="32">
        <f t="shared" si="16"/>
        <v>18.97</v>
      </c>
      <c r="K39" s="33">
        <f t="shared" si="16"/>
        <v>20.79</v>
      </c>
      <c r="L39" s="32">
        <f t="shared" si="16"/>
        <v>20.27</v>
      </c>
      <c r="M39" s="32">
        <f t="shared" si="16"/>
        <v>22.87</v>
      </c>
      <c r="N39" s="33">
        <f t="shared" si="16"/>
        <v>24.99</v>
      </c>
      <c r="O39" s="32">
        <f t="shared" si="16"/>
        <v>26.23</v>
      </c>
      <c r="P39" s="33">
        <f t="shared" si="16"/>
        <v>27.45</v>
      </c>
      <c r="Q39" s="32">
        <f t="shared" si="16"/>
        <v>30.65</v>
      </c>
      <c r="R39" s="33">
        <f t="shared" si="16"/>
        <v>30.65</v>
      </c>
    </row>
    <row r="40" spans="1:18" x14ac:dyDescent="0.25">
      <c r="C40" s="1"/>
      <c r="D40" s="1"/>
      <c r="E40" s="1"/>
      <c r="F40" s="1"/>
      <c r="G40" s="1"/>
      <c r="H40" s="1"/>
      <c r="I40" s="1"/>
      <c r="J40" s="1"/>
      <c r="K40" s="1"/>
      <c r="L40" s="1"/>
      <c r="M40" s="1"/>
      <c r="N40" s="1"/>
      <c r="O40" s="1"/>
      <c r="P40" s="1"/>
      <c r="Q40" s="1"/>
      <c r="R40" s="1"/>
    </row>
    <row r="41" spans="1:18" x14ac:dyDescent="0.25">
      <c r="C41" s="1"/>
      <c r="D41" s="1"/>
      <c r="E41" s="1"/>
      <c r="F41" s="1"/>
      <c r="G41" s="1"/>
      <c r="H41" s="1"/>
      <c r="I41" s="1"/>
      <c r="J41" s="1"/>
      <c r="K41" s="1"/>
      <c r="L41" s="1"/>
      <c r="M41" s="1"/>
      <c r="N41" s="1"/>
      <c r="O41" s="1"/>
      <c r="P41" s="1"/>
      <c r="Q41" s="1"/>
      <c r="R41" s="1"/>
    </row>
    <row r="42" spans="1:18" x14ac:dyDescent="0.25">
      <c r="B42" s="3"/>
      <c r="C42" s="3"/>
      <c r="D42" s="3"/>
      <c r="E42" s="3"/>
      <c r="F42" s="1"/>
      <c r="G42" s="3"/>
      <c r="H42" s="3"/>
      <c r="I42" s="3"/>
      <c r="J42" s="3"/>
      <c r="K42" s="3"/>
      <c r="L42" s="3"/>
      <c r="M42" s="3"/>
      <c r="N42" s="3"/>
      <c r="O42" s="3"/>
      <c r="P42" s="3"/>
      <c r="Q42" s="3"/>
      <c r="R42" s="3"/>
    </row>
    <row r="43" spans="1:18" hidden="1" x14ac:dyDescent="0.25">
      <c r="C43" s="1"/>
      <c r="D43" s="1"/>
      <c r="E43" s="1"/>
      <c r="F43" s="1"/>
      <c r="G43" s="1"/>
      <c r="H43" s="1"/>
      <c r="I43" s="1"/>
      <c r="J43" s="1"/>
      <c r="K43" s="1"/>
      <c r="L43" s="1"/>
      <c r="M43" s="1"/>
      <c r="N43" s="1"/>
      <c r="O43" s="1"/>
      <c r="P43" s="1"/>
      <c r="Q43" s="1"/>
      <c r="R43" s="1"/>
    </row>
    <row r="44" spans="1:18" s="89" customFormat="1" hidden="1" x14ac:dyDescent="0.25">
      <c r="B44" s="91" t="s">
        <v>74</v>
      </c>
    </row>
    <row r="45" spans="1:18" s="89" customFormat="1" hidden="1" x14ac:dyDescent="0.25">
      <c r="B45" s="91" t="s">
        <v>74</v>
      </c>
    </row>
    <row r="46" spans="1:18" s="89" customFormat="1" hidden="1" x14ac:dyDescent="0.25">
      <c r="B46" s="91"/>
    </row>
    <row r="47" spans="1:18" s="89" customFormat="1" hidden="1" x14ac:dyDescent="0.25">
      <c r="B47" s="91" t="s">
        <v>75</v>
      </c>
      <c r="C47" s="90">
        <f>4.97%</f>
        <v>4.9699999999999994E-2</v>
      </c>
    </row>
    <row r="48" spans="1:18" s="89" customFormat="1" hidden="1" x14ac:dyDescent="0.25">
      <c r="B48" s="91" t="s">
        <v>76</v>
      </c>
      <c r="C48" s="90">
        <f>4.4%</f>
        <v>4.4000000000000004E-2</v>
      </c>
    </row>
    <row r="49" spans="1:18" s="89" customFormat="1" hidden="1" x14ac:dyDescent="0.25">
      <c r="B49" s="91" t="s">
        <v>50</v>
      </c>
      <c r="C49" s="92">
        <v>0</v>
      </c>
    </row>
    <row r="50" spans="1:18" s="89" customFormat="1" hidden="1" x14ac:dyDescent="0.25">
      <c r="B50" s="91" t="s">
        <v>77</v>
      </c>
      <c r="C50" s="92">
        <v>0</v>
      </c>
    </row>
    <row r="51" spans="1:18" s="89" customFormat="1" hidden="1" x14ac:dyDescent="0.25">
      <c r="B51" s="91"/>
    </row>
    <row r="52" spans="1:18" s="89" customFormat="1" hidden="1" x14ac:dyDescent="0.25">
      <c r="B52" s="91" t="s">
        <v>53</v>
      </c>
    </row>
    <row r="53" spans="1:18" s="89" customFormat="1" hidden="1" x14ac:dyDescent="0.25">
      <c r="B53" s="91" t="s">
        <v>78</v>
      </c>
    </row>
    <row r="54" spans="1:18" s="89" customFormat="1" hidden="1" x14ac:dyDescent="0.25">
      <c r="B54" s="91"/>
    </row>
    <row r="55" spans="1:18" s="89" customFormat="1" hidden="1" x14ac:dyDescent="0.25">
      <c r="A55" s="89" t="s">
        <v>79</v>
      </c>
      <c r="B55" s="93">
        <v>2636.88</v>
      </c>
      <c r="C55" s="94">
        <v>2672.03</v>
      </c>
      <c r="D55" s="93">
        <v>2810.54</v>
      </c>
      <c r="E55" s="94">
        <v>2908.65</v>
      </c>
      <c r="F55" s="93">
        <v>3029.55</v>
      </c>
      <c r="G55" s="93">
        <v>3123.35</v>
      </c>
      <c r="H55" s="93">
        <v>3218.42</v>
      </c>
      <c r="I55" s="94">
        <v>3349.23</v>
      </c>
      <c r="J55" s="93">
        <v>3404.17</v>
      </c>
      <c r="K55" s="94">
        <v>3731.21</v>
      </c>
      <c r="L55" s="93">
        <v>3637.35</v>
      </c>
      <c r="M55" s="93">
        <v>4105.37</v>
      </c>
      <c r="N55" s="94">
        <v>4486.91</v>
      </c>
      <c r="O55" s="93">
        <v>4710.55</v>
      </c>
      <c r="P55" s="94">
        <v>4928.57</v>
      </c>
      <c r="Q55" s="93">
        <v>5505.3</v>
      </c>
      <c r="R55" s="95">
        <v>5505.3</v>
      </c>
    </row>
    <row r="56" spans="1:18" hidden="1" x14ac:dyDescent="0.25"/>
    <row r="58" spans="1:18" x14ac:dyDescent="0.25">
      <c r="B58" s="34"/>
    </row>
    <row r="60" spans="1:18" x14ac:dyDescent="0.25">
      <c r="B60" s="34"/>
      <c r="C60" s="1"/>
      <c r="D60" s="1"/>
      <c r="E60" s="1"/>
      <c r="F60" s="1"/>
      <c r="G60" s="1"/>
      <c r="H60" s="1"/>
      <c r="I60" s="1"/>
      <c r="J60" s="1"/>
      <c r="K60" s="1"/>
      <c r="L60" s="1"/>
      <c r="M60" s="1"/>
      <c r="N60" s="1"/>
      <c r="O60" s="1"/>
      <c r="P60" s="1"/>
      <c r="Q60" s="1"/>
      <c r="R60" s="1"/>
    </row>
    <row r="61" spans="1:18" x14ac:dyDescent="0.25">
      <c r="B61" s="34"/>
    </row>
    <row r="66" spans="2:18" x14ac:dyDescent="0.25">
      <c r="B66" s="34"/>
      <c r="C66" s="34"/>
      <c r="D66" s="34"/>
      <c r="E66" s="34"/>
      <c r="F66" s="34"/>
      <c r="G66" s="34"/>
      <c r="H66" s="34"/>
      <c r="I66" s="34"/>
      <c r="J66" s="34"/>
      <c r="K66" s="34"/>
      <c r="L66" s="34"/>
      <c r="M66" s="34"/>
      <c r="N66" s="34"/>
      <c r="O66" s="34"/>
      <c r="P66" s="34"/>
      <c r="Q66" s="34"/>
      <c r="R66" s="34"/>
    </row>
  </sheetData>
  <phoneticPr fontId="2" type="noConversion"/>
  <conditionalFormatting sqref="B2">
    <cfRule type="expression" dxfId="3" priority="1">
      <formula>B1="Generale"</formula>
    </cfRule>
  </conditionalFormatting>
  <dataValidations count="2">
    <dataValidation type="list" allowBlank="1" showInputMessage="1" showErrorMessage="1" sqref="B1" xr:uid="{00000000-0002-0000-0400-000000000000}">
      <formula1>$B$44:$B$45</formula1>
    </dataValidation>
    <dataValidation type="list" allowBlank="1" showInputMessage="1" showErrorMessage="1" sqref="B5" xr:uid="{00000000-0002-0000-0400-000001000000}">
      <formula1>$B$52:$B$53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7"/>
  <sheetViews>
    <sheetView zoomScaleNormal="100" workbookViewId="0">
      <pane ySplit="9" topLeftCell="A16" activePane="bottomLeft" state="frozen"/>
      <selection activeCell="S14" sqref="S14"/>
      <selection pane="bottomLeft" activeCell="S14" sqref="S14"/>
    </sheetView>
  </sheetViews>
  <sheetFormatPr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+INPUT!C3</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134</v>
      </c>
      <c r="B6">
        <v>1548</v>
      </c>
      <c r="C6">
        <v>1548</v>
      </c>
    </row>
    <row r="7" spans="1:19" x14ac:dyDescent="0.25">
      <c r="B7"/>
    </row>
    <row r="8" spans="1:19" ht="15.75" thickBot="1" x14ac:dyDescent="0.3">
      <c r="B8" s="256"/>
    </row>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257">
        <v>1214.99</v>
      </c>
      <c r="C10" s="258">
        <v>1226.23</v>
      </c>
      <c r="D10" s="257">
        <v>1283.3599999999999</v>
      </c>
      <c r="E10" s="258"/>
      <c r="F10" s="257">
        <v>1380.21</v>
      </c>
      <c r="G10" s="257">
        <v>1421.55</v>
      </c>
      <c r="H10" s="257">
        <v>1463.53</v>
      </c>
      <c r="I10" s="258">
        <v>1463.53</v>
      </c>
      <c r="J10" s="257">
        <v>1543.82</v>
      </c>
      <c r="K10" s="258">
        <v>1543.82</v>
      </c>
      <c r="L10" s="257">
        <v>1643.47</v>
      </c>
      <c r="M10" s="257">
        <v>1773.89</v>
      </c>
      <c r="N10" s="258">
        <v>1773.89</v>
      </c>
      <c r="O10" s="257">
        <v>1959.19</v>
      </c>
      <c r="P10" s="258">
        <v>1959.19</v>
      </c>
      <c r="Q10" s="257">
        <v>2237.4699999999998</v>
      </c>
      <c r="R10" s="259">
        <v>2237.4699999999998</v>
      </c>
      <c r="S10" s="1"/>
    </row>
    <row r="11" spans="1:19" x14ac:dyDescent="0.25">
      <c r="A11" s="11" t="s">
        <v>56</v>
      </c>
      <c r="B11" s="260">
        <v>34.86</v>
      </c>
      <c r="C11" s="261">
        <v>40.29</v>
      </c>
      <c r="D11" s="262">
        <v>48.81</v>
      </c>
      <c r="E11" s="261"/>
      <c r="F11" s="262">
        <v>55.77</v>
      </c>
      <c r="G11" s="262">
        <v>58.89</v>
      </c>
      <c r="H11" s="262">
        <v>61.98</v>
      </c>
      <c r="I11" s="261">
        <v>61.98</v>
      </c>
      <c r="J11" s="262">
        <v>69.72</v>
      </c>
      <c r="K11" s="261">
        <v>69.72</v>
      </c>
      <c r="L11" s="262">
        <v>80.58</v>
      </c>
      <c r="M11" s="262">
        <v>94.5</v>
      </c>
      <c r="N11" s="261">
        <v>94.5</v>
      </c>
      <c r="O11" s="262">
        <v>118.53</v>
      </c>
      <c r="P11" s="261">
        <v>118.53</v>
      </c>
      <c r="Q11" s="262">
        <v>139.44</v>
      </c>
      <c r="R11" s="263">
        <v>139.44</v>
      </c>
      <c r="S11" s="1"/>
    </row>
    <row r="12" spans="1:19" x14ac:dyDescent="0.25">
      <c r="A12" s="11" t="s">
        <v>57</v>
      </c>
      <c r="B12" s="260"/>
      <c r="C12" s="258"/>
      <c r="D12" s="257"/>
      <c r="E12" s="258"/>
      <c r="F12" s="257"/>
      <c r="G12" s="257"/>
      <c r="H12" s="257"/>
      <c r="I12" s="261">
        <v>61.97</v>
      </c>
      <c r="J12" s="257"/>
      <c r="K12" s="261">
        <v>154.94</v>
      </c>
      <c r="L12" s="257"/>
      <c r="M12" s="257"/>
      <c r="N12" s="261">
        <v>258.23</v>
      </c>
      <c r="O12" s="257"/>
      <c r="P12" s="261">
        <v>258.23</v>
      </c>
      <c r="Q12" s="257"/>
      <c r="R12" s="263">
        <v>232.41</v>
      </c>
      <c r="S12" s="1"/>
    </row>
    <row r="13" spans="1:19" x14ac:dyDescent="0.25">
      <c r="A13" s="11" t="s">
        <v>58</v>
      </c>
      <c r="B13" s="260"/>
      <c r="C13" s="258"/>
      <c r="D13" s="257"/>
      <c r="E13" s="261"/>
      <c r="F13" s="257"/>
      <c r="G13" s="257"/>
      <c r="H13" s="257"/>
      <c r="I13" s="258"/>
      <c r="J13" s="257"/>
      <c r="K13" s="258"/>
      <c r="L13" s="257"/>
      <c r="M13" s="262">
        <v>77.47</v>
      </c>
      <c r="N13" s="258"/>
      <c r="O13" s="262">
        <v>154.94</v>
      </c>
      <c r="P13" s="258"/>
      <c r="Q13" s="262">
        <v>232.41</v>
      </c>
      <c r="R13" s="259"/>
      <c r="S13" s="1"/>
    </row>
    <row r="14" spans="1:19" x14ac:dyDescent="0.25">
      <c r="A14" s="11" t="s">
        <v>59</v>
      </c>
      <c r="B14" s="260">
        <v>30.98</v>
      </c>
      <c r="C14" s="261">
        <v>31.27</v>
      </c>
      <c r="D14" s="262">
        <v>32.729999999999997</v>
      </c>
      <c r="E14" s="261"/>
      <c r="F14" s="262">
        <v>35.200000000000003</v>
      </c>
      <c r="G14" s="262">
        <v>36.25</v>
      </c>
      <c r="H14" s="262">
        <v>37.32</v>
      </c>
      <c r="I14" s="261">
        <v>37.32</v>
      </c>
      <c r="J14" s="262">
        <v>39.369999999999997</v>
      </c>
      <c r="K14" s="261">
        <v>39.369999999999997</v>
      </c>
      <c r="L14" s="262">
        <v>41.91</v>
      </c>
      <c r="M14" s="262">
        <v>45.23</v>
      </c>
      <c r="N14" s="261">
        <v>45.23</v>
      </c>
      <c r="O14" s="262">
        <v>49.96</v>
      </c>
      <c r="P14" s="261">
        <v>49.96</v>
      </c>
      <c r="Q14" s="262">
        <v>57.06</v>
      </c>
      <c r="R14" s="263">
        <v>57.06</v>
      </c>
      <c r="S14" s="1"/>
    </row>
    <row r="15" spans="1:19" x14ac:dyDescent="0.25">
      <c r="B15" s="19"/>
      <c r="C15" s="264"/>
      <c r="D15" s="22"/>
      <c r="F15" s="22"/>
      <c r="G15" s="22"/>
      <c r="H15" s="22"/>
      <c r="I15" s="1"/>
      <c r="J15" s="22"/>
      <c r="K15" s="1"/>
      <c r="L15" s="22"/>
      <c r="M15" s="22"/>
      <c r="N15" s="1"/>
      <c r="O15" s="22"/>
      <c r="P15" s="1"/>
      <c r="Q15" s="22"/>
      <c r="R15" s="1"/>
    </row>
    <row r="16" spans="1:19" x14ac:dyDescent="0.25">
      <c r="A16" s="11" t="s">
        <v>60</v>
      </c>
      <c r="B16" s="12">
        <f>+SUM(B10:B14)</f>
        <v>1280.83</v>
      </c>
      <c r="C16" s="13">
        <f t="shared" ref="C16:R16" si="0">+SUM(C10:C14)</f>
        <v>1297.79</v>
      </c>
      <c r="D16" s="12">
        <f t="shared" si="0"/>
        <v>1364.8999999999999</v>
      </c>
      <c r="E16" s="13">
        <f t="shared" si="0"/>
        <v>0</v>
      </c>
      <c r="F16" s="12">
        <f t="shared" si="0"/>
        <v>1471.18</v>
      </c>
      <c r="G16" s="12">
        <f t="shared" si="0"/>
        <v>1516.69</v>
      </c>
      <c r="H16" s="12">
        <f t="shared" si="0"/>
        <v>1562.83</v>
      </c>
      <c r="I16" s="13">
        <f t="shared" si="0"/>
        <v>1624.8</v>
      </c>
      <c r="J16" s="12">
        <f t="shared" si="0"/>
        <v>1652.9099999999999</v>
      </c>
      <c r="K16" s="13">
        <f t="shared" si="0"/>
        <v>1807.85</v>
      </c>
      <c r="L16" s="12">
        <f t="shared" si="0"/>
        <v>1765.96</v>
      </c>
      <c r="M16" s="12">
        <f t="shared" si="0"/>
        <v>1991.0900000000001</v>
      </c>
      <c r="N16" s="13">
        <f t="shared" si="0"/>
        <v>2171.85</v>
      </c>
      <c r="O16" s="12">
        <f t="shared" si="0"/>
        <v>2282.6200000000003</v>
      </c>
      <c r="P16" s="13">
        <f t="shared" si="0"/>
        <v>2385.9100000000003</v>
      </c>
      <c r="Q16" s="12">
        <f t="shared" si="0"/>
        <v>2666.3799999999997</v>
      </c>
      <c r="R16" s="14">
        <f t="shared" si="0"/>
        <v>2666.3799999999997</v>
      </c>
    </row>
    <row r="17" spans="1:18" x14ac:dyDescent="0.25">
      <c r="A17" s="11" t="s">
        <v>61</v>
      </c>
      <c r="B17" s="12">
        <f>+B16*13</f>
        <v>16650.79</v>
      </c>
      <c r="C17" s="13">
        <f t="shared" ref="C17:R17" si="1">+C16*13</f>
        <v>16871.27</v>
      </c>
      <c r="D17" s="12">
        <f t="shared" si="1"/>
        <v>17743.699999999997</v>
      </c>
      <c r="E17" s="13">
        <f t="shared" si="1"/>
        <v>0</v>
      </c>
      <c r="F17" s="12">
        <f t="shared" si="1"/>
        <v>19125.34</v>
      </c>
      <c r="G17" s="12">
        <f t="shared" si="1"/>
        <v>19716.97</v>
      </c>
      <c r="H17" s="12">
        <f t="shared" si="1"/>
        <v>20316.79</v>
      </c>
      <c r="I17" s="13">
        <f t="shared" si="1"/>
        <v>21122.399999999998</v>
      </c>
      <c r="J17" s="12">
        <f t="shared" si="1"/>
        <v>21487.829999999998</v>
      </c>
      <c r="K17" s="13">
        <f t="shared" si="1"/>
        <v>23502.05</v>
      </c>
      <c r="L17" s="12">
        <f t="shared" si="1"/>
        <v>22957.48</v>
      </c>
      <c r="M17" s="12">
        <f t="shared" si="1"/>
        <v>25884.170000000002</v>
      </c>
      <c r="N17" s="13">
        <f t="shared" si="1"/>
        <v>28234.05</v>
      </c>
      <c r="O17" s="12">
        <f t="shared" si="1"/>
        <v>29674.060000000005</v>
      </c>
      <c r="P17" s="13">
        <f t="shared" si="1"/>
        <v>31016.830000000005</v>
      </c>
      <c r="Q17" s="12">
        <f t="shared" si="1"/>
        <v>34662.939999999995</v>
      </c>
      <c r="R17" s="14">
        <f t="shared" si="1"/>
        <v>34662.939999999995</v>
      </c>
    </row>
    <row r="18" spans="1:18" x14ac:dyDescent="0.25">
      <c r="B18" s="22"/>
      <c r="D18" s="21"/>
      <c r="F18" s="21"/>
      <c r="G18" s="21"/>
      <c r="H18" s="21"/>
      <c r="J18" s="21"/>
      <c r="L18" s="21"/>
      <c r="M18" s="21"/>
      <c r="O18" s="21"/>
      <c r="Q18" s="21"/>
    </row>
    <row r="19" spans="1:18" x14ac:dyDescent="0.25">
      <c r="A19" s="11" t="s">
        <v>62</v>
      </c>
      <c r="B19" s="12"/>
      <c r="C19" s="23"/>
      <c r="D19" s="24"/>
      <c r="E19" s="23"/>
      <c r="F19" s="24"/>
      <c r="G19" s="24"/>
      <c r="H19" s="24"/>
      <c r="I19" s="23"/>
      <c r="J19" s="24"/>
      <c r="K19" s="23"/>
      <c r="L19" s="24"/>
      <c r="M19" s="24"/>
      <c r="N19" s="23"/>
      <c r="O19" s="24"/>
      <c r="P19" s="23"/>
      <c r="Q19" s="24"/>
      <c r="R19" s="25"/>
    </row>
    <row r="20" spans="1:18" x14ac:dyDescent="0.25">
      <c r="A20" s="11" t="s">
        <v>325</v>
      </c>
      <c r="B20" s="15">
        <f>+B17*0.2733</f>
        <v>4550.6609070000004</v>
      </c>
      <c r="C20" s="26">
        <f t="shared" ref="C20:R20" si="2">+C17*0.2733</f>
        <v>4610.9180909999995</v>
      </c>
      <c r="D20" s="15">
        <f t="shared" si="2"/>
        <v>4849.3532099999993</v>
      </c>
      <c r="E20" s="26"/>
      <c r="F20" s="15">
        <f t="shared" si="2"/>
        <v>5226.955422</v>
      </c>
      <c r="G20" s="15">
        <f t="shared" si="2"/>
        <v>5388.6479010000003</v>
      </c>
      <c r="H20" s="15">
        <f t="shared" si="2"/>
        <v>5552.5787069999997</v>
      </c>
      <c r="I20" s="26">
        <f t="shared" si="2"/>
        <v>5772.7519199999988</v>
      </c>
      <c r="J20" s="15">
        <f t="shared" si="2"/>
        <v>5872.6239389999992</v>
      </c>
      <c r="K20" s="26">
        <f t="shared" si="2"/>
        <v>6423.1102649999993</v>
      </c>
      <c r="L20" s="15">
        <f t="shared" si="2"/>
        <v>6274.2792839999993</v>
      </c>
      <c r="M20" s="15">
        <f t="shared" si="2"/>
        <v>7074.1436610000001</v>
      </c>
      <c r="N20" s="26">
        <f t="shared" si="2"/>
        <v>7716.3658649999998</v>
      </c>
      <c r="O20" s="15">
        <f t="shared" si="2"/>
        <v>8109.9205980000006</v>
      </c>
      <c r="P20" s="26">
        <f t="shared" si="2"/>
        <v>8476.8996390000011</v>
      </c>
      <c r="Q20" s="15">
        <f t="shared" si="2"/>
        <v>9473.3815019999984</v>
      </c>
      <c r="R20" s="27">
        <f t="shared" si="2"/>
        <v>9473.3815019999984</v>
      </c>
    </row>
    <row r="21" spans="1:18" x14ac:dyDescent="0.25">
      <c r="A21" s="11" t="s">
        <v>64</v>
      </c>
      <c r="B21" s="15">
        <f>+B17*0.03</f>
        <v>499.52370000000002</v>
      </c>
      <c r="C21" s="26">
        <f t="shared" ref="C21:R21" si="3">+C17*0.03</f>
        <v>506.13810000000001</v>
      </c>
      <c r="D21" s="15">
        <f t="shared" si="3"/>
        <v>532.31099999999992</v>
      </c>
      <c r="E21" s="26"/>
      <c r="F21" s="15">
        <f t="shared" si="3"/>
        <v>573.76019999999994</v>
      </c>
      <c r="G21" s="15">
        <f t="shared" si="3"/>
        <v>591.50909999999999</v>
      </c>
      <c r="H21" s="15">
        <f t="shared" si="3"/>
        <v>609.50369999999998</v>
      </c>
      <c r="I21" s="26">
        <f t="shared" si="3"/>
        <v>633.67199999999991</v>
      </c>
      <c r="J21" s="15">
        <f t="shared" si="3"/>
        <v>644.6348999999999</v>
      </c>
      <c r="K21" s="26">
        <f t="shared" si="3"/>
        <v>705.06149999999991</v>
      </c>
      <c r="L21" s="15">
        <f t="shared" si="3"/>
        <v>688.72439999999995</v>
      </c>
      <c r="M21" s="15">
        <f t="shared" si="3"/>
        <v>776.52510000000007</v>
      </c>
      <c r="N21" s="26">
        <f t="shared" si="3"/>
        <v>847.02149999999995</v>
      </c>
      <c r="O21" s="15">
        <f t="shared" si="3"/>
        <v>890.22180000000014</v>
      </c>
      <c r="P21" s="26">
        <f t="shared" si="3"/>
        <v>930.50490000000013</v>
      </c>
      <c r="Q21" s="15">
        <f t="shared" si="3"/>
        <v>1039.8881999999999</v>
      </c>
      <c r="R21" s="27">
        <f t="shared" si="3"/>
        <v>1039.8881999999999</v>
      </c>
    </row>
    <row r="22" spans="1:18" x14ac:dyDescent="0.25">
      <c r="A22" s="11" t="s">
        <v>65</v>
      </c>
      <c r="B22" s="12">
        <f>+B21+B20</f>
        <v>5050.1846070000001</v>
      </c>
      <c r="C22" s="13">
        <f t="shared" ref="C22:R22" si="4">+C21+C20</f>
        <v>5117.0561909999997</v>
      </c>
      <c r="D22" s="12">
        <f t="shared" si="4"/>
        <v>5381.664209999999</v>
      </c>
      <c r="E22" s="13"/>
      <c r="F22" s="12">
        <f t="shared" si="4"/>
        <v>5800.7156219999997</v>
      </c>
      <c r="G22" s="12">
        <f t="shared" si="4"/>
        <v>5980.1570010000005</v>
      </c>
      <c r="H22" s="12">
        <f t="shared" si="4"/>
        <v>6162.0824069999999</v>
      </c>
      <c r="I22" s="13">
        <f t="shared" si="4"/>
        <v>6406.4239199999984</v>
      </c>
      <c r="J22" s="12">
        <f t="shared" si="4"/>
        <v>6517.2588389999992</v>
      </c>
      <c r="K22" s="13">
        <f t="shared" si="4"/>
        <v>7128.1717649999991</v>
      </c>
      <c r="L22" s="12">
        <f t="shared" si="4"/>
        <v>6963.0036839999993</v>
      </c>
      <c r="M22" s="12">
        <f t="shared" si="4"/>
        <v>7850.6687609999999</v>
      </c>
      <c r="N22" s="13">
        <f t="shared" si="4"/>
        <v>8563.3873650000005</v>
      </c>
      <c r="O22" s="12">
        <f t="shared" si="4"/>
        <v>9000.142398</v>
      </c>
      <c r="P22" s="13">
        <f t="shared" si="4"/>
        <v>9407.404539000001</v>
      </c>
      <c r="Q22" s="12">
        <f t="shared" si="4"/>
        <v>10513.269701999998</v>
      </c>
      <c r="R22" s="14">
        <f t="shared" si="4"/>
        <v>10513.269701999998</v>
      </c>
    </row>
    <row r="23" spans="1:18" x14ac:dyDescent="0.25">
      <c r="B23" s="22"/>
      <c r="D23" s="21"/>
      <c r="F23" s="21"/>
      <c r="G23" s="21"/>
      <c r="H23" s="21"/>
      <c r="J23" s="21"/>
      <c r="L23" s="21"/>
      <c r="M23" s="21"/>
      <c r="O23" s="21"/>
      <c r="Q23" s="21"/>
    </row>
    <row r="24" spans="1:18" x14ac:dyDescent="0.25">
      <c r="A24" t="s">
        <v>326</v>
      </c>
      <c r="B24" s="22">
        <v>200</v>
      </c>
      <c r="C24">
        <v>200</v>
      </c>
      <c r="D24" s="21">
        <v>200</v>
      </c>
      <c r="F24" s="21">
        <v>200</v>
      </c>
      <c r="G24" s="21">
        <v>200</v>
      </c>
      <c r="H24" s="21">
        <v>200</v>
      </c>
      <c r="I24">
        <v>200</v>
      </c>
      <c r="J24" s="21">
        <v>200</v>
      </c>
      <c r="K24">
        <v>200</v>
      </c>
      <c r="L24" s="21">
        <v>200</v>
      </c>
      <c r="M24" s="21">
        <v>200</v>
      </c>
      <c r="N24">
        <v>200</v>
      </c>
      <c r="O24" s="21">
        <v>200</v>
      </c>
      <c r="P24">
        <v>200</v>
      </c>
      <c r="Q24" s="21">
        <v>200</v>
      </c>
      <c r="R24">
        <v>200</v>
      </c>
    </row>
    <row r="25" spans="1:18" x14ac:dyDescent="0.25">
      <c r="A25" s="11" t="s">
        <v>66</v>
      </c>
      <c r="B25" s="12">
        <f>+B16*0.962962</f>
        <v>1233.3906184599998</v>
      </c>
      <c r="C25" s="13">
        <f t="shared" ref="C25:R25" si="5">+C16*0.962962</f>
        <v>1249.72245398</v>
      </c>
      <c r="D25" s="12">
        <f t="shared" si="5"/>
        <v>1314.3468337999998</v>
      </c>
      <c r="E25" s="13"/>
      <c r="F25" s="12">
        <f t="shared" si="5"/>
        <v>1416.6904351600001</v>
      </c>
      <c r="G25" s="12">
        <f t="shared" si="5"/>
        <v>1460.5148357800001</v>
      </c>
      <c r="H25" s="12">
        <f t="shared" si="5"/>
        <v>1504.9459024599998</v>
      </c>
      <c r="I25" s="13">
        <f t="shared" si="5"/>
        <v>1564.6206576</v>
      </c>
      <c r="J25" s="12">
        <f t="shared" si="5"/>
        <v>1591.6895194199999</v>
      </c>
      <c r="K25" s="13">
        <f t="shared" si="5"/>
        <v>1740.8908517</v>
      </c>
      <c r="L25" s="12">
        <f t="shared" si="5"/>
        <v>1700.5523735199999</v>
      </c>
      <c r="M25" s="12">
        <f t="shared" si="5"/>
        <v>1917.34400858</v>
      </c>
      <c r="N25" s="13">
        <f t="shared" si="5"/>
        <v>2091.4090197</v>
      </c>
      <c r="O25" s="12">
        <f t="shared" si="5"/>
        <v>2198.0763204400005</v>
      </c>
      <c r="P25" s="13">
        <f t="shared" si="5"/>
        <v>2297.5406654200001</v>
      </c>
      <c r="Q25" s="12">
        <f t="shared" si="5"/>
        <v>2567.6226175599995</v>
      </c>
      <c r="R25" s="14">
        <f t="shared" si="5"/>
        <v>2567.6226175599995</v>
      </c>
    </row>
    <row r="26" spans="1:18" x14ac:dyDescent="0.25">
      <c r="A26" s="11" t="s">
        <v>327</v>
      </c>
      <c r="B26" s="15">
        <f>+B25*0.022418*6</f>
        <v>165.90090530781765</v>
      </c>
      <c r="C26" s="26">
        <f t="shared" ref="C26:R26" si="6">+C25*0.022418*6</f>
        <v>168.09766783994183</v>
      </c>
      <c r="D26" s="15">
        <f t="shared" si="6"/>
        <v>176.79016392077037</v>
      </c>
      <c r="E26" s="26"/>
      <c r="F26" s="15">
        <f t="shared" si="6"/>
        <v>190.55619705250129</v>
      </c>
      <c r="G26" s="15">
        <f t="shared" si="6"/>
        <v>196.45092953109628</v>
      </c>
      <c r="H26" s="15">
        <f t="shared" si="6"/>
        <v>202.42726344808966</v>
      </c>
      <c r="I26" s="26">
        <f t="shared" si="6"/>
        <v>210.45399541246081</v>
      </c>
      <c r="J26" s="15">
        <f t="shared" si="6"/>
        <v>214.09497387814537</v>
      </c>
      <c r="K26" s="26">
        <f t="shared" si="6"/>
        <v>234.16374668046359</v>
      </c>
      <c r="L26" s="15">
        <f t="shared" si="6"/>
        <v>228.73789865742816</v>
      </c>
      <c r="M26" s="15">
        <f t="shared" si="6"/>
        <v>257.89810790607862</v>
      </c>
      <c r="N26" s="26">
        <f t="shared" si="6"/>
        <v>281.3112444218076</v>
      </c>
      <c r="O26" s="15">
        <f t="shared" si="6"/>
        <v>295.65884970974361</v>
      </c>
      <c r="P26" s="26">
        <f t="shared" si="6"/>
        <v>309.03759982431336</v>
      </c>
      <c r="Q26" s="15">
        <f t="shared" si="6"/>
        <v>345.36578304276043</v>
      </c>
      <c r="R26" s="27">
        <f t="shared" si="6"/>
        <v>345.36578304276043</v>
      </c>
    </row>
    <row r="27" spans="1:18" x14ac:dyDescent="0.25">
      <c r="A27" s="11" t="s">
        <v>328</v>
      </c>
      <c r="B27" s="15">
        <f>+B17*0.015</f>
        <v>249.76185000000001</v>
      </c>
      <c r="C27" s="26">
        <f t="shared" ref="C27:R27" si="7">+C17*0.015</f>
        <v>253.06905</v>
      </c>
      <c r="D27" s="15">
        <f t="shared" si="7"/>
        <v>266.15549999999996</v>
      </c>
      <c r="E27" s="26"/>
      <c r="F27" s="15">
        <f t="shared" si="7"/>
        <v>286.88009999999997</v>
      </c>
      <c r="G27" s="15">
        <f t="shared" si="7"/>
        <v>295.75454999999999</v>
      </c>
      <c r="H27" s="15">
        <f t="shared" si="7"/>
        <v>304.75184999999999</v>
      </c>
      <c r="I27" s="26">
        <f t="shared" si="7"/>
        <v>316.83599999999996</v>
      </c>
      <c r="J27" s="15">
        <f t="shared" si="7"/>
        <v>322.31744999999995</v>
      </c>
      <c r="K27" s="26">
        <f t="shared" si="7"/>
        <v>352.53074999999995</v>
      </c>
      <c r="L27" s="15">
        <f t="shared" si="7"/>
        <v>344.36219999999997</v>
      </c>
      <c r="M27" s="15">
        <f t="shared" si="7"/>
        <v>388.26255000000003</v>
      </c>
      <c r="N27" s="26">
        <f t="shared" si="7"/>
        <v>423.51074999999997</v>
      </c>
      <c r="O27" s="15">
        <f t="shared" si="7"/>
        <v>445.11090000000007</v>
      </c>
      <c r="P27" s="26">
        <f t="shared" si="7"/>
        <v>465.25245000000007</v>
      </c>
      <c r="Q27" s="15">
        <f t="shared" si="7"/>
        <v>519.94409999999993</v>
      </c>
      <c r="R27" s="27">
        <f t="shared" si="7"/>
        <v>519.94409999999993</v>
      </c>
    </row>
    <row r="28" spans="1:18" x14ac:dyDescent="0.25">
      <c r="A28" s="11" t="s">
        <v>69</v>
      </c>
      <c r="B28" s="28">
        <v>66</v>
      </c>
      <c r="C28" s="29">
        <v>66</v>
      </c>
      <c r="D28" s="28">
        <v>66</v>
      </c>
      <c r="E28" s="29"/>
      <c r="F28" s="28">
        <v>66</v>
      </c>
      <c r="G28" s="28">
        <v>66</v>
      </c>
      <c r="H28" s="28">
        <v>66</v>
      </c>
      <c r="I28" s="29">
        <v>66</v>
      </c>
      <c r="J28" s="28">
        <v>66</v>
      </c>
      <c r="K28" s="29">
        <v>66</v>
      </c>
      <c r="L28" s="28">
        <v>66</v>
      </c>
      <c r="M28" s="28">
        <v>66</v>
      </c>
      <c r="N28" s="29">
        <v>66</v>
      </c>
      <c r="O28" s="28">
        <v>66</v>
      </c>
      <c r="P28" s="29">
        <v>66</v>
      </c>
      <c r="Q28" s="28">
        <v>66</v>
      </c>
      <c r="R28" s="30">
        <v>66</v>
      </c>
    </row>
    <row r="29" spans="1:18" x14ac:dyDescent="0.25">
      <c r="B29" s="22"/>
      <c r="D29" s="21"/>
      <c r="F29" s="21"/>
      <c r="G29" s="21"/>
      <c r="H29" s="21"/>
      <c r="J29" s="21"/>
      <c r="L29" s="21"/>
      <c r="M29" s="21"/>
      <c r="O29" s="21"/>
      <c r="Q29" s="21"/>
    </row>
    <row r="30" spans="1:18" x14ac:dyDescent="0.25">
      <c r="A30" s="11" t="s">
        <v>70</v>
      </c>
      <c r="B30" s="12">
        <f>+B17+B22+B25+B26+B27+B28+B24</f>
        <v>23616.027980767816</v>
      </c>
      <c r="C30" s="13">
        <f t="shared" ref="C30:R30" si="8">+C17+C22+C25+C26+C27+C28+C24</f>
        <v>23925.215362819941</v>
      </c>
      <c r="D30" s="12">
        <f t="shared" si="8"/>
        <v>25148.656707720766</v>
      </c>
      <c r="E30" s="13"/>
      <c r="F30" s="12">
        <f t="shared" si="8"/>
        <v>27086.182354212498</v>
      </c>
      <c r="G30" s="12">
        <f t="shared" si="8"/>
        <v>27915.847316311098</v>
      </c>
      <c r="H30" s="12">
        <f t="shared" si="8"/>
        <v>28756.997422908094</v>
      </c>
      <c r="I30" s="13">
        <f t="shared" si="8"/>
        <v>29886.734573012454</v>
      </c>
      <c r="J30" s="12">
        <f t="shared" si="8"/>
        <v>30399.190782298141</v>
      </c>
      <c r="K30" s="13">
        <f t="shared" si="8"/>
        <v>33223.807113380462</v>
      </c>
      <c r="L30" s="12">
        <f t="shared" si="8"/>
        <v>32460.136156177428</v>
      </c>
      <c r="M30" s="12">
        <f t="shared" si="8"/>
        <v>36564.343427486077</v>
      </c>
      <c r="N30" s="13">
        <f t="shared" si="8"/>
        <v>39859.668379121802</v>
      </c>
      <c r="O30" s="12">
        <f t="shared" si="8"/>
        <v>41879.048468149747</v>
      </c>
      <c r="P30" s="13">
        <f t="shared" si="8"/>
        <v>43762.065254244313</v>
      </c>
      <c r="Q30" s="12">
        <f t="shared" si="8"/>
        <v>48875.142202602758</v>
      </c>
      <c r="R30" s="14">
        <f t="shared" si="8"/>
        <v>48875.142202602758</v>
      </c>
    </row>
    <row r="31" spans="1:18" x14ac:dyDescent="0.25">
      <c r="A31" s="11"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22"/>
      <c r="C32" s="1"/>
      <c r="D32" s="22"/>
      <c r="E32" s="1"/>
      <c r="F32" s="22"/>
      <c r="G32" s="22"/>
      <c r="H32" s="22"/>
      <c r="I32" s="1"/>
      <c r="J32" s="22"/>
      <c r="K32" s="1"/>
      <c r="L32" s="22"/>
      <c r="M32" s="22"/>
      <c r="N32" s="1"/>
      <c r="O32" s="22"/>
      <c r="P32" s="1"/>
      <c r="Q32" s="22"/>
      <c r="R32" s="1"/>
    </row>
    <row r="33" spans="1:18" x14ac:dyDescent="0.25">
      <c r="A33" s="265" t="s">
        <v>71</v>
      </c>
      <c r="B33" s="266">
        <f>+B31+B30</f>
        <v>23616.027980767816</v>
      </c>
      <c r="C33" s="267">
        <f t="shared" ref="C33:R33" si="10">+C31+C30</f>
        <v>23925.215362819941</v>
      </c>
      <c r="D33" s="266">
        <f t="shared" si="10"/>
        <v>25148.656707720766</v>
      </c>
      <c r="E33" s="267"/>
      <c r="F33" s="266">
        <f t="shared" si="10"/>
        <v>27086.182354212498</v>
      </c>
      <c r="G33" s="266">
        <f t="shared" si="10"/>
        <v>27915.847316311098</v>
      </c>
      <c r="H33" s="266">
        <f t="shared" si="10"/>
        <v>28756.997422908094</v>
      </c>
      <c r="I33" s="267">
        <f t="shared" si="10"/>
        <v>29886.734573012454</v>
      </c>
      <c r="J33" s="266">
        <f t="shared" si="10"/>
        <v>30399.190782298141</v>
      </c>
      <c r="K33" s="267">
        <f t="shared" si="10"/>
        <v>33223.807113380462</v>
      </c>
      <c r="L33" s="266">
        <f t="shared" si="10"/>
        <v>32460.136156177428</v>
      </c>
      <c r="M33" s="266">
        <f t="shared" si="10"/>
        <v>36564.343427486077</v>
      </c>
      <c r="N33" s="267">
        <f t="shared" si="10"/>
        <v>39859.668379121802</v>
      </c>
      <c r="O33" s="266">
        <f t="shared" si="10"/>
        <v>41879.048468149747</v>
      </c>
      <c r="P33" s="267">
        <f t="shared" si="10"/>
        <v>43762.065254244313</v>
      </c>
      <c r="Q33" s="266">
        <f t="shared" si="10"/>
        <v>48875.142202602758</v>
      </c>
      <c r="R33" s="268">
        <f t="shared" si="10"/>
        <v>48875.142202602758</v>
      </c>
    </row>
    <row r="34" spans="1:18" x14ac:dyDescent="0.25">
      <c r="B34" s="22"/>
      <c r="C34" s="1"/>
      <c r="D34" s="22"/>
      <c r="E34" s="1"/>
      <c r="F34" s="22"/>
      <c r="G34" s="22"/>
      <c r="H34" s="22"/>
      <c r="I34" s="1"/>
      <c r="J34" s="22"/>
      <c r="K34" s="1"/>
      <c r="L34" s="22"/>
      <c r="M34" s="22"/>
      <c r="N34" s="1"/>
      <c r="O34" s="22"/>
      <c r="P34" s="1"/>
      <c r="Q34" s="22"/>
      <c r="R34" s="1"/>
    </row>
    <row r="35" spans="1:18" x14ac:dyDescent="0.25">
      <c r="A35" s="11" t="s">
        <v>21</v>
      </c>
      <c r="B35" s="12">
        <f>+ROUND(B33/$B$6,2)</f>
        <v>15.26</v>
      </c>
      <c r="C35" s="13">
        <f t="shared" ref="C35:R35" si="11">+ROUND(C33/$B$6,2)</f>
        <v>15.46</v>
      </c>
      <c r="D35" s="12">
        <f t="shared" si="11"/>
        <v>16.25</v>
      </c>
      <c r="E35" s="13"/>
      <c r="F35" s="12">
        <f t="shared" si="11"/>
        <v>17.5</v>
      </c>
      <c r="G35" s="12">
        <f t="shared" si="11"/>
        <v>18.03</v>
      </c>
      <c r="H35" s="12">
        <f t="shared" si="11"/>
        <v>18.579999999999998</v>
      </c>
      <c r="I35" s="13">
        <f t="shared" si="11"/>
        <v>19.309999999999999</v>
      </c>
      <c r="J35" s="12">
        <f t="shared" si="11"/>
        <v>19.64</v>
      </c>
      <c r="K35" s="13">
        <f t="shared" si="11"/>
        <v>21.46</v>
      </c>
      <c r="L35" s="12">
        <f t="shared" si="11"/>
        <v>20.97</v>
      </c>
      <c r="M35" s="12">
        <f t="shared" si="11"/>
        <v>23.62</v>
      </c>
      <c r="N35" s="13">
        <f t="shared" si="11"/>
        <v>25.75</v>
      </c>
      <c r="O35" s="12">
        <f t="shared" si="11"/>
        <v>27.05</v>
      </c>
      <c r="P35" s="13">
        <f t="shared" si="11"/>
        <v>28.27</v>
      </c>
      <c r="Q35" s="12">
        <f t="shared" si="11"/>
        <v>31.57</v>
      </c>
      <c r="R35" s="14">
        <f t="shared" si="11"/>
        <v>31.57</v>
      </c>
    </row>
    <row r="36" spans="1:18" x14ac:dyDescent="0.25">
      <c r="A36" s="11" t="s">
        <v>121</v>
      </c>
      <c r="B36" s="12">
        <f>+B33-B21-B27-B24</f>
        <v>22666.742430767816</v>
      </c>
      <c r="C36" s="13">
        <f t="shared" ref="C36:R36" si="12">+C33-C21-C27-C24</f>
        <v>22966.008212819943</v>
      </c>
      <c r="D36" s="12">
        <f t="shared" si="12"/>
        <v>24150.190207720763</v>
      </c>
      <c r="E36" s="13">
        <f t="shared" si="12"/>
        <v>0</v>
      </c>
      <c r="F36" s="12">
        <f t="shared" si="12"/>
        <v>26025.542054212499</v>
      </c>
      <c r="G36" s="12">
        <f t="shared" si="12"/>
        <v>26828.583666311097</v>
      </c>
      <c r="H36" s="12">
        <f t="shared" si="12"/>
        <v>27642.741872908093</v>
      </c>
      <c r="I36" s="13">
        <f t="shared" si="12"/>
        <v>28736.226573012456</v>
      </c>
      <c r="J36" s="12">
        <f t="shared" si="12"/>
        <v>29232.238432298142</v>
      </c>
      <c r="K36" s="13">
        <f t="shared" si="12"/>
        <v>31966.214863380461</v>
      </c>
      <c r="L36" s="12">
        <f t="shared" si="12"/>
        <v>31227.04955617743</v>
      </c>
      <c r="M36" s="12">
        <f t="shared" si="12"/>
        <v>35199.555777486079</v>
      </c>
      <c r="N36" s="13">
        <f t="shared" si="12"/>
        <v>38389.136129121798</v>
      </c>
      <c r="O36" s="12">
        <f t="shared" si="12"/>
        <v>40343.715768149748</v>
      </c>
      <c r="P36" s="13">
        <f t="shared" si="12"/>
        <v>42166.307904244313</v>
      </c>
      <c r="Q36" s="12">
        <f t="shared" si="12"/>
        <v>47115.309902602756</v>
      </c>
      <c r="R36" s="14">
        <f t="shared" si="12"/>
        <v>47115.309902602756</v>
      </c>
    </row>
    <row r="37" spans="1:18" x14ac:dyDescent="0.25">
      <c r="A37" s="11" t="s">
        <v>122</v>
      </c>
      <c r="B37" s="12">
        <f>+ROUND(B36/$B$6,2)</f>
        <v>14.64</v>
      </c>
      <c r="C37" s="13">
        <f t="shared" ref="C37:R37" si="13">+ROUND(C36/$B$6,2)</f>
        <v>14.84</v>
      </c>
      <c r="D37" s="12">
        <f t="shared" si="13"/>
        <v>15.6</v>
      </c>
      <c r="E37" s="13"/>
      <c r="F37" s="12">
        <f t="shared" si="13"/>
        <v>16.809999999999999</v>
      </c>
      <c r="G37" s="12">
        <f t="shared" si="13"/>
        <v>17.329999999999998</v>
      </c>
      <c r="H37" s="12">
        <f t="shared" si="13"/>
        <v>17.86</v>
      </c>
      <c r="I37" s="13">
        <f t="shared" si="13"/>
        <v>18.559999999999999</v>
      </c>
      <c r="J37" s="12">
        <f t="shared" si="13"/>
        <v>18.88</v>
      </c>
      <c r="K37" s="13">
        <f t="shared" si="13"/>
        <v>20.65</v>
      </c>
      <c r="L37" s="12">
        <f t="shared" si="13"/>
        <v>20.170000000000002</v>
      </c>
      <c r="M37" s="12">
        <f t="shared" si="13"/>
        <v>22.74</v>
      </c>
      <c r="N37" s="13">
        <f t="shared" si="13"/>
        <v>24.8</v>
      </c>
      <c r="O37" s="12">
        <f t="shared" si="13"/>
        <v>26.06</v>
      </c>
      <c r="P37" s="13">
        <f t="shared" si="13"/>
        <v>27.24</v>
      </c>
      <c r="Q37" s="12">
        <f t="shared" si="13"/>
        <v>30.44</v>
      </c>
      <c r="R37" s="14">
        <f t="shared" si="13"/>
        <v>30.44</v>
      </c>
    </row>
    <row r="38" spans="1:18" x14ac:dyDescent="0.25">
      <c r="A38" s="11" t="s">
        <v>329</v>
      </c>
      <c r="B38" s="12">
        <f>+B37*0.039</f>
        <v>0.57096000000000002</v>
      </c>
      <c r="C38" s="13">
        <f t="shared" ref="C38:R38" si="14">+C37*0.039</f>
        <v>0.57875999999999994</v>
      </c>
      <c r="D38" s="12">
        <f t="shared" si="14"/>
        <v>0.60839999999999994</v>
      </c>
      <c r="E38" s="13"/>
      <c r="F38" s="12">
        <f t="shared" si="14"/>
        <v>0.6555899999999999</v>
      </c>
      <c r="G38" s="12">
        <f t="shared" si="14"/>
        <v>0.67586999999999997</v>
      </c>
      <c r="H38" s="12">
        <f t="shared" si="14"/>
        <v>0.69653999999999994</v>
      </c>
      <c r="I38" s="13">
        <f t="shared" si="14"/>
        <v>0.72383999999999993</v>
      </c>
      <c r="J38" s="12">
        <f t="shared" si="14"/>
        <v>0.73631999999999997</v>
      </c>
      <c r="K38" s="13">
        <f t="shared" si="14"/>
        <v>0.8053499999999999</v>
      </c>
      <c r="L38" s="12">
        <f t="shared" si="14"/>
        <v>0.78663000000000005</v>
      </c>
      <c r="M38" s="12">
        <f t="shared" si="14"/>
        <v>0.88685999999999998</v>
      </c>
      <c r="N38" s="13">
        <f t="shared" si="14"/>
        <v>0.96720000000000006</v>
      </c>
      <c r="O38" s="12">
        <f t="shared" si="14"/>
        <v>1.01634</v>
      </c>
      <c r="P38" s="13">
        <f t="shared" si="14"/>
        <v>1.06236</v>
      </c>
      <c r="Q38" s="12">
        <f t="shared" si="14"/>
        <v>1.18716</v>
      </c>
      <c r="R38" s="14">
        <f t="shared" si="14"/>
        <v>1.18716</v>
      </c>
    </row>
    <row r="39" spans="1:18" x14ac:dyDescent="0.25">
      <c r="A39" s="11"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31" t="s">
        <v>73</v>
      </c>
      <c r="B40" s="269">
        <f>+B39+B35</f>
        <v>15.26</v>
      </c>
      <c r="C40" s="270">
        <f t="shared" ref="C40:R40" si="16">+C39+C35</f>
        <v>15.46</v>
      </c>
      <c r="D40" s="269">
        <f t="shared" si="16"/>
        <v>16.25</v>
      </c>
      <c r="E40" s="270"/>
      <c r="F40" s="269">
        <f t="shared" si="16"/>
        <v>17.5</v>
      </c>
      <c r="G40" s="269">
        <f t="shared" si="16"/>
        <v>18.03</v>
      </c>
      <c r="H40" s="269">
        <f t="shared" si="16"/>
        <v>18.579999999999998</v>
      </c>
      <c r="I40" s="270">
        <f t="shared" si="16"/>
        <v>19.309999999999999</v>
      </c>
      <c r="J40" s="269">
        <f t="shared" si="16"/>
        <v>19.64</v>
      </c>
      <c r="K40" s="270">
        <f t="shared" si="16"/>
        <v>21.46</v>
      </c>
      <c r="L40" s="269">
        <f t="shared" si="16"/>
        <v>20.97</v>
      </c>
      <c r="M40" s="269">
        <f t="shared" si="16"/>
        <v>23.62</v>
      </c>
      <c r="N40" s="270">
        <f t="shared" si="16"/>
        <v>25.75</v>
      </c>
      <c r="O40" s="269">
        <f t="shared" si="16"/>
        <v>27.05</v>
      </c>
      <c r="P40" s="270">
        <f t="shared" si="16"/>
        <v>28.27</v>
      </c>
      <c r="Q40" s="269">
        <f t="shared" si="16"/>
        <v>31.57</v>
      </c>
      <c r="R40" s="270">
        <f t="shared" si="16"/>
        <v>31.57</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89" customFormat="1" x14ac:dyDescent="0.25">
      <c r="B45" s="91" t="s">
        <v>74</v>
      </c>
    </row>
    <row r="46" spans="1:18" s="89" customFormat="1" x14ac:dyDescent="0.25">
      <c r="B46" s="91" t="s">
        <v>74</v>
      </c>
    </row>
    <row r="47" spans="1:18" s="89" customFormat="1" x14ac:dyDescent="0.25">
      <c r="B47" s="91"/>
    </row>
    <row r="48" spans="1:18" s="89" customFormat="1" x14ac:dyDescent="0.25">
      <c r="B48" s="91" t="s">
        <v>75</v>
      </c>
      <c r="C48" s="90">
        <f>4.97%</f>
        <v>4.9699999999999994E-2</v>
      </c>
    </row>
    <row r="49" spans="1:18" s="89" customFormat="1" x14ac:dyDescent="0.25">
      <c r="B49" s="91" t="s">
        <v>76</v>
      </c>
      <c r="C49" s="90">
        <f>4.4%</f>
        <v>4.4000000000000004E-2</v>
      </c>
    </row>
    <row r="50" spans="1:18" s="89" customFormat="1" x14ac:dyDescent="0.25">
      <c r="B50" s="91" t="s">
        <v>50</v>
      </c>
      <c r="C50" s="92">
        <v>0</v>
      </c>
    </row>
    <row r="51" spans="1:18" s="89" customFormat="1" x14ac:dyDescent="0.25">
      <c r="B51" s="91" t="s">
        <v>77</v>
      </c>
      <c r="C51" s="92">
        <v>0</v>
      </c>
    </row>
    <row r="52" spans="1:18" s="89" customFormat="1" x14ac:dyDescent="0.25">
      <c r="B52" s="91"/>
    </row>
    <row r="53" spans="1:18" s="89" customFormat="1" x14ac:dyDescent="0.25">
      <c r="B53" s="91" t="s">
        <v>53</v>
      </c>
    </row>
    <row r="54" spans="1:18" s="89" customFormat="1" x14ac:dyDescent="0.25">
      <c r="B54" s="91" t="s">
        <v>78</v>
      </c>
    </row>
    <row r="55" spans="1:18" s="89" customFormat="1" x14ac:dyDescent="0.25">
      <c r="B55" s="91"/>
    </row>
    <row r="56" spans="1:18" s="89" customFormat="1" x14ac:dyDescent="0.25">
      <c r="A56" s="89" t="s">
        <v>79</v>
      </c>
      <c r="B56" s="257">
        <v>2702.73</v>
      </c>
      <c r="C56" s="258">
        <v>2738.51</v>
      </c>
      <c r="D56" s="257">
        <v>2880.13</v>
      </c>
      <c r="E56" s="258"/>
      <c r="F56" s="257">
        <v>3104.4</v>
      </c>
      <c r="G56" s="257">
        <v>3200.43</v>
      </c>
      <c r="H56" s="257">
        <v>3297.79</v>
      </c>
      <c r="I56" s="258">
        <v>3428.55</v>
      </c>
      <c r="J56" s="257">
        <v>3487.87</v>
      </c>
      <c r="K56" s="258">
        <v>3814.81</v>
      </c>
      <c r="L56" s="257">
        <v>3726.42</v>
      </c>
      <c r="M56" s="257">
        <v>4201.49</v>
      </c>
      <c r="N56" s="258">
        <v>4582.91</v>
      </c>
      <c r="O56" s="257">
        <v>4816.6499999999996</v>
      </c>
      <c r="P56" s="258">
        <v>5034.6099999999997</v>
      </c>
      <c r="Q56" s="257">
        <v>5626.43</v>
      </c>
      <c r="R56" s="259">
        <v>5626.43</v>
      </c>
    </row>
    <row r="58" spans="1:18" x14ac:dyDescent="0.25">
      <c r="B58" s="256"/>
      <c r="C58" s="256"/>
      <c r="D58" s="256"/>
      <c r="F58" s="256"/>
      <c r="G58" s="256"/>
    </row>
    <row r="59" spans="1:18" x14ac:dyDescent="0.25">
      <c r="B59" s="34"/>
      <c r="C59" s="34"/>
    </row>
    <row r="60" spans="1:18" x14ac:dyDescent="0.25">
      <c r="C60" s="1"/>
      <c r="D60" s="1"/>
      <c r="F60" s="1"/>
      <c r="G60" s="1"/>
    </row>
    <row r="61" spans="1:18" x14ac:dyDescent="0.25">
      <c r="B61" s="34"/>
      <c r="C61" s="34"/>
      <c r="D61" s="34"/>
      <c r="E61" s="1"/>
      <c r="F61" s="34"/>
      <c r="G61" s="34"/>
      <c r="H61" s="1"/>
      <c r="I61" s="1"/>
      <c r="J61" s="1"/>
      <c r="K61" s="1"/>
      <c r="L61" s="1"/>
      <c r="M61" s="1"/>
      <c r="N61" s="1"/>
      <c r="O61" s="1"/>
      <c r="P61" s="1"/>
      <c r="Q61" s="1"/>
      <c r="R61" s="1"/>
    </row>
    <row r="62" spans="1:18" x14ac:dyDescent="0.25">
      <c r="B62" s="34"/>
      <c r="C62" s="34"/>
    </row>
    <row r="64" spans="1:18" x14ac:dyDescent="0.25">
      <c r="B64" s="271"/>
      <c r="C64" s="271"/>
      <c r="D64" s="271"/>
      <c r="E64" s="271"/>
      <c r="F64" s="271"/>
      <c r="G64" s="271"/>
      <c r="H64" s="271"/>
      <c r="I64" s="271"/>
      <c r="J64" s="271"/>
      <c r="K64" s="271"/>
      <c r="L64" s="271"/>
      <c r="M64" s="271"/>
      <c r="N64" s="271"/>
      <c r="O64" s="271"/>
      <c r="P64" s="271"/>
      <c r="Q64" s="271"/>
      <c r="R64" s="271"/>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34"/>
      <c r="C67" s="34"/>
      <c r="D67" s="34"/>
      <c r="E67" s="34"/>
      <c r="F67" s="34"/>
      <c r="G67" s="34"/>
      <c r="H67" s="34"/>
      <c r="I67" s="34"/>
      <c r="J67" s="34"/>
      <c r="K67" s="34"/>
      <c r="L67" s="34"/>
      <c r="M67" s="34"/>
      <c r="N67" s="34"/>
      <c r="O67" s="34"/>
      <c r="P67" s="34"/>
      <c r="Q67" s="34"/>
      <c r="R67" s="34"/>
    </row>
  </sheetData>
  <conditionalFormatting sqref="B2">
    <cfRule type="expression" dxfId="2" priority="1">
      <formula>B1="Generale"</formula>
    </cfRule>
  </conditionalFormatting>
  <dataValidations count="2">
    <dataValidation type="list" allowBlank="1" showInputMessage="1" showErrorMessage="1" sqref="B1" xr:uid="{00000000-0002-0000-0500-000000000000}">
      <formula1>$B$45:$B$46</formula1>
    </dataValidation>
    <dataValidation type="list" allowBlank="1" showInputMessage="1" showErrorMessage="1" sqref="B5" xr:uid="{00000000-0002-0000-0500-000001000000}">
      <formula1>$B$53:$B$54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7"/>
  <sheetViews>
    <sheetView topLeftCell="A4" workbookViewId="0">
      <selection activeCell="S14" sqref="S14"/>
    </sheetView>
  </sheetViews>
  <sheetFormatPr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+INPUT!C3</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134</v>
      </c>
      <c r="B6">
        <v>1548</v>
      </c>
      <c r="C6">
        <v>1548</v>
      </c>
    </row>
    <row r="7" spans="1:19" x14ac:dyDescent="0.25">
      <c r="B7"/>
    </row>
    <row r="8" spans="1:19" ht="15.75" thickBot="1" x14ac:dyDescent="0.3">
      <c r="B8" s="256"/>
    </row>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257">
        <v>1236.99</v>
      </c>
      <c r="C10" s="258">
        <v>1248.44</v>
      </c>
      <c r="D10" s="257">
        <v>1306.6099999999999</v>
      </c>
      <c r="E10" s="258"/>
      <c r="F10" s="257">
        <v>1405.21</v>
      </c>
      <c r="G10" s="257">
        <v>1447.3</v>
      </c>
      <c r="H10" s="257">
        <v>1490.04</v>
      </c>
      <c r="I10" s="258">
        <v>1490.04</v>
      </c>
      <c r="J10" s="257">
        <v>1571.78</v>
      </c>
      <c r="K10" s="258">
        <v>1571.78</v>
      </c>
      <c r="L10" s="257">
        <v>1673.23</v>
      </c>
      <c r="M10" s="257">
        <v>1806.03</v>
      </c>
      <c r="N10" s="258">
        <v>1806.03</v>
      </c>
      <c r="O10" s="257">
        <v>1994.68</v>
      </c>
      <c r="P10" s="258">
        <v>1994.68</v>
      </c>
      <c r="Q10" s="257">
        <v>2277.9899999999998</v>
      </c>
      <c r="R10" s="259">
        <v>2277.9899999999998</v>
      </c>
      <c r="S10" s="1"/>
    </row>
    <row r="11" spans="1:19" x14ac:dyDescent="0.25">
      <c r="A11" s="11" t="s">
        <v>56</v>
      </c>
      <c r="B11" s="260">
        <v>34.86</v>
      </c>
      <c r="C11" s="261">
        <v>40.29</v>
      </c>
      <c r="D11" s="262">
        <v>48.81</v>
      </c>
      <c r="E11" s="261"/>
      <c r="F11" s="262">
        <v>55.77</v>
      </c>
      <c r="G11" s="262">
        <v>58.89</v>
      </c>
      <c r="H11" s="262">
        <v>61.98</v>
      </c>
      <c r="I11" s="261">
        <v>61.98</v>
      </c>
      <c r="J11" s="262">
        <v>69.72</v>
      </c>
      <c r="K11" s="261">
        <v>69.72</v>
      </c>
      <c r="L11" s="262">
        <v>80.58</v>
      </c>
      <c r="M11" s="262">
        <v>94.5</v>
      </c>
      <c r="N11" s="261">
        <v>94.5</v>
      </c>
      <c r="O11" s="262">
        <v>118.53</v>
      </c>
      <c r="P11" s="261">
        <v>118.53</v>
      </c>
      <c r="Q11" s="262">
        <v>139.44</v>
      </c>
      <c r="R11" s="263">
        <v>139.44</v>
      </c>
      <c r="S11" s="1"/>
    </row>
    <row r="12" spans="1:19" x14ac:dyDescent="0.25">
      <c r="A12" s="11" t="s">
        <v>57</v>
      </c>
      <c r="B12" s="260"/>
      <c r="C12" s="258"/>
      <c r="D12" s="257"/>
      <c r="E12" s="258"/>
      <c r="F12" s="257"/>
      <c r="G12" s="257"/>
      <c r="H12" s="257"/>
      <c r="I12" s="261">
        <v>61.97</v>
      </c>
      <c r="J12" s="257"/>
      <c r="K12" s="261">
        <v>154.94</v>
      </c>
      <c r="L12" s="257"/>
      <c r="M12" s="257"/>
      <c r="N12" s="261">
        <v>258.23</v>
      </c>
      <c r="O12" s="257"/>
      <c r="P12" s="261">
        <v>258.23</v>
      </c>
      <c r="Q12" s="257"/>
      <c r="R12" s="263">
        <v>232.41</v>
      </c>
      <c r="S12" s="1"/>
    </row>
    <row r="13" spans="1:19" x14ac:dyDescent="0.25">
      <c r="A13" s="11" t="s">
        <v>58</v>
      </c>
      <c r="B13" s="260"/>
      <c r="C13" s="258"/>
      <c r="D13" s="257"/>
      <c r="E13" s="261"/>
      <c r="F13" s="257"/>
      <c r="G13" s="257"/>
      <c r="H13" s="257"/>
      <c r="I13" s="258"/>
      <c r="J13" s="257"/>
      <c r="K13" s="258"/>
      <c r="L13" s="257"/>
      <c r="M13" s="262">
        <v>77.47</v>
      </c>
      <c r="N13" s="258"/>
      <c r="O13" s="262">
        <v>154.94</v>
      </c>
      <c r="P13" s="258"/>
      <c r="Q13" s="262">
        <v>232.41</v>
      </c>
      <c r="R13" s="259"/>
      <c r="S13" s="1"/>
    </row>
    <row r="14" spans="1:19" x14ac:dyDescent="0.25">
      <c r="A14" s="11" t="s">
        <v>59</v>
      </c>
      <c r="B14" s="260">
        <v>31.54</v>
      </c>
      <c r="C14" s="261">
        <v>31.84</v>
      </c>
      <c r="D14" s="262">
        <v>33.32</v>
      </c>
      <c r="E14" s="261"/>
      <c r="F14" s="262">
        <v>35.83</v>
      </c>
      <c r="G14" s="262">
        <v>36.909999999999997</v>
      </c>
      <c r="H14" s="262">
        <v>38</v>
      </c>
      <c r="I14" s="261">
        <v>38</v>
      </c>
      <c r="J14" s="262">
        <v>40.08</v>
      </c>
      <c r="K14" s="261">
        <v>40.08</v>
      </c>
      <c r="L14" s="262">
        <v>42.67</v>
      </c>
      <c r="M14" s="262">
        <v>46.05</v>
      </c>
      <c r="N14" s="261">
        <v>46.05</v>
      </c>
      <c r="O14" s="262">
        <v>50.86</v>
      </c>
      <c r="P14" s="261">
        <v>50.86</v>
      </c>
      <c r="Q14" s="262">
        <v>58.09</v>
      </c>
      <c r="R14" s="263">
        <v>58.09</v>
      </c>
      <c r="S14" s="1"/>
    </row>
    <row r="15" spans="1:19" x14ac:dyDescent="0.25">
      <c r="B15" s="19"/>
      <c r="C15" s="264"/>
      <c r="D15" s="22"/>
      <c r="F15" s="22"/>
      <c r="G15" s="22"/>
      <c r="H15" s="22"/>
      <c r="I15" s="1"/>
      <c r="J15" s="22"/>
      <c r="K15" s="1"/>
      <c r="L15" s="22"/>
      <c r="M15" s="22"/>
      <c r="N15" s="1"/>
      <c r="O15" s="22"/>
      <c r="P15" s="1"/>
      <c r="Q15" s="22"/>
      <c r="R15" s="1"/>
    </row>
    <row r="16" spans="1:19" x14ac:dyDescent="0.25">
      <c r="A16" s="11" t="s">
        <v>60</v>
      </c>
      <c r="B16" s="12">
        <f>+SUM(B10:B14)</f>
        <v>1303.3899999999999</v>
      </c>
      <c r="C16" s="13">
        <f t="shared" ref="C16:R16" si="0">+SUM(C10:C14)</f>
        <v>1320.57</v>
      </c>
      <c r="D16" s="12">
        <f t="shared" si="0"/>
        <v>1388.7399999999998</v>
      </c>
      <c r="E16" s="13">
        <f t="shared" si="0"/>
        <v>0</v>
      </c>
      <c r="F16" s="12">
        <f t="shared" si="0"/>
        <v>1496.81</v>
      </c>
      <c r="G16" s="12">
        <f t="shared" si="0"/>
        <v>1543.1000000000001</v>
      </c>
      <c r="H16" s="12">
        <f t="shared" si="0"/>
        <v>1590.02</v>
      </c>
      <c r="I16" s="13">
        <f t="shared" si="0"/>
        <v>1651.99</v>
      </c>
      <c r="J16" s="12">
        <f t="shared" si="0"/>
        <v>1681.58</v>
      </c>
      <c r="K16" s="13">
        <f t="shared" si="0"/>
        <v>1836.52</v>
      </c>
      <c r="L16" s="12">
        <f t="shared" si="0"/>
        <v>1796.48</v>
      </c>
      <c r="M16" s="12">
        <f t="shared" si="0"/>
        <v>2024.05</v>
      </c>
      <c r="N16" s="13">
        <f t="shared" si="0"/>
        <v>2204.8100000000004</v>
      </c>
      <c r="O16" s="12">
        <f t="shared" si="0"/>
        <v>2319.0100000000002</v>
      </c>
      <c r="P16" s="13">
        <f t="shared" si="0"/>
        <v>2422.3000000000002</v>
      </c>
      <c r="Q16" s="12">
        <f t="shared" si="0"/>
        <v>2707.93</v>
      </c>
      <c r="R16" s="14">
        <f t="shared" si="0"/>
        <v>2707.93</v>
      </c>
    </row>
    <row r="17" spans="1:18" x14ac:dyDescent="0.25">
      <c r="A17" s="265" t="s">
        <v>61</v>
      </c>
      <c r="B17" s="266">
        <f>+B16*13</f>
        <v>16944.07</v>
      </c>
      <c r="C17" s="267">
        <f t="shared" ref="C17:R17" si="1">+C16*13</f>
        <v>17167.41</v>
      </c>
      <c r="D17" s="266">
        <f t="shared" si="1"/>
        <v>18053.619999999995</v>
      </c>
      <c r="E17" s="267">
        <f t="shared" si="1"/>
        <v>0</v>
      </c>
      <c r="F17" s="266">
        <f t="shared" si="1"/>
        <v>19458.53</v>
      </c>
      <c r="G17" s="266">
        <f t="shared" si="1"/>
        <v>20060.300000000003</v>
      </c>
      <c r="H17" s="266">
        <f t="shared" si="1"/>
        <v>20670.259999999998</v>
      </c>
      <c r="I17" s="267">
        <f t="shared" si="1"/>
        <v>21475.87</v>
      </c>
      <c r="J17" s="266">
        <f t="shared" si="1"/>
        <v>21860.54</v>
      </c>
      <c r="K17" s="267">
        <f t="shared" si="1"/>
        <v>23874.76</v>
      </c>
      <c r="L17" s="266">
        <f t="shared" si="1"/>
        <v>23354.240000000002</v>
      </c>
      <c r="M17" s="266">
        <f t="shared" si="1"/>
        <v>26312.649999999998</v>
      </c>
      <c r="N17" s="267">
        <f t="shared" si="1"/>
        <v>28662.530000000006</v>
      </c>
      <c r="O17" s="266">
        <f t="shared" si="1"/>
        <v>30147.130000000005</v>
      </c>
      <c r="P17" s="267">
        <f t="shared" si="1"/>
        <v>31489.9</v>
      </c>
      <c r="Q17" s="266">
        <f t="shared" si="1"/>
        <v>35203.089999999997</v>
      </c>
      <c r="R17" s="268">
        <f t="shared" si="1"/>
        <v>35203.089999999997</v>
      </c>
    </row>
    <row r="18" spans="1:18" x14ac:dyDescent="0.25">
      <c r="B18" s="22"/>
      <c r="D18" s="21"/>
      <c r="F18" s="21"/>
      <c r="G18" s="21"/>
      <c r="H18" s="21"/>
      <c r="J18" s="21"/>
      <c r="L18" s="21"/>
      <c r="M18" s="21"/>
      <c r="O18" s="21"/>
      <c r="Q18" s="21"/>
    </row>
    <row r="19" spans="1:18" x14ac:dyDescent="0.25">
      <c r="A19" s="11" t="s">
        <v>62</v>
      </c>
      <c r="B19" s="12"/>
      <c r="C19" s="23"/>
      <c r="D19" s="24"/>
      <c r="E19" s="23"/>
      <c r="F19" s="24"/>
      <c r="G19" s="24"/>
      <c r="H19" s="24"/>
      <c r="I19" s="23"/>
      <c r="J19" s="24"/>
      <c r="K19" s="23"/>
      <c r="L19" s="24"/>
      <c r="M19" s="24"/>
      <c r="N19" s="23"/>
      <c r="O19" s="24"/>
      <c r="P19" s="23"/>
      <c r="Q19" s="24"/>
      <c r="R19" s="25"/>
    </row>
    <row r="20" spans="1:18" x14ac:dyDescent="0.25">
      <c r="A20" s="11" t="s">
        <v>325</v>
      </c>
      <c r="B20" s="15">
        <f>+B17*0.2733</f>
        <v>4630.8143309999996</v>
      </c>
      <c r="C20" s="26">
        <f t="shared" ref="C20:R20" si="2">+C17*0.2733</f>
        <v>4691.853153</v>
      </c>
      <c r="D20" s="15">
        <f t="shared" si="2"/>
        <v>4934.0543459999981</v>
      </c>
      <c r="E20" s="26"/>
      <c r="F20" s="15">
        <f t="shared" si="2"/>
        <v>5318.0162489999993</v>
      </c>
      <c r="G20" s="15">
        <f t="shared" si="2"/>
        <v>5482.4799900000007</v>
      </c>
      <c r="H20" s="15">
        <f t="shared" si="2"/>
        <v>5649.1820579999994</v>
      </c>
      <c r="I20" s="26">
        <f t="shared" si="2"/>
        <v>5869.3552709999994</v>
      </c>
      <c r="J20" s="15">
        <f t="shared" si="2"/>
        <v>5974.4855820000002</v>
      </c>
      <c r="K20" s="26">
        <f t="shared" si="2"/>
        <v>6524.9719079999995</v>
      </c>
      <c r="L20" s="15">
        <f t="shared" si="2"/>
        <v>6382.7137920000005</v>
      </c>
      <c r="M20" s="15">
        <f t="shared" si="2"/>
        <v>7191.2472449999987</v>
      </c>
      <c r="N20" s="26">
        <f t="shared" si="2"/>
        <v>7833.4694490000011</v>
      </c>
      <c r="O20" s="15">
        <f t="shared" si="2"/>
        <v>8239.2106290000011</v>
      </c>
      <c r="P20" s="26">
        <f t="shared" si="2"/>
        <v>8606.1896699999998</v>
      </c>
      <c r="Q20" s="15">
        <f t="shared" si="2"/>
        <v>9621.0044969999981</v>
      </c>
      <c r="R20" s="27">
        <f t="shared" si="2"/>
        <v>9621.0044969999981</v>
      </c>
    </row>
    <row r="21" spans="1:18" x14ac:dyDescent="0.25">
      <c r="A21" s="11" t="s">
        <v>64</v>
      </c>
      <c r="B21" s="15">
        <f>+B17*0.03</f>
        <v>508.32209999999998</v>
      </c>
      <c r="C21" s="26">
        <f t="shared" ref="C21:R21" si="3">+C17*0.03</f>
        <v>515.02229999999997</v>
      </c>
      <c r="D21" s="15">
        <f t="shared" si="3"/>
        <v>541.6085999999998</v>
      </c>
      <c r="E21" s="26"/>
      <c r="F21" s="15">
        <f t="shared" si="3"/>
        <v>583.7559</v>
      </c>
      <c r="G21" s="15">
        <f t="shared" si="3"/>
        <v>601.80900000000008</v>
      </c>
      <c r="H21" s="15">
        <f t="shared" si="3"/>
        <v>620.10779999999988</v>
      </c>
      <c r="I21" s="26">
        <f t="shared" si="3"/>
        <v>644.27609999999993</v>
      </c>
      <c r="J21" s="15">
        <f t="shared" si="3"/>
        <v>655.81619999999998</v>
      </c>
      <c r="K21" s="26">
        <f t="shared" si="3"/>
        <v>716.24279999999987</v>
      </c>
      <c r="L21" s="15">
        <f t="shared" si="3"/>
        <v>700.62720000000002</v>
      </c>
      <c r="M21" s="15">
        <f t="shared" si="3"/>
        <v>789.37949999999989</v>
      </c>
      <c r="N21" s="26">
        <f t="shared" si="3"/>
        <v>859.87590000000012</v>
      </c>
      <c r="O21" s="15">
        <f t="shared" si="3"/>
        <v>904.41390000000013</v>
      </c>
      <c r="P21" s="26">
        <f t="shared" si="3"/>
        <v>944.697</v>
      </c>
      <c r="Q21" s="15">
        <f t="shared" si="3"/>
        <v>1056.0926999999999</v>
      </c>
      <c r="R21" s="27">
        <f t="shared" si="3"/>
        <v>1056.0926999999999</v>
      </c>
    </row>
    <row r="22" spans="1:18" x14ac:dyDescent="0.25">
      <c r="A22" s="11" t="s">
        <v>65</v>
      </c>
      <c r="B22" s="12">
        <f>+B21+B20</f>
        <v>5139.1364309999999</v>
      </c>
      <c r="C22" s="13">
        <f t="shared" ref="C22:R22" si="4">+C21+C20</f>
        <v>5206.8754529999997</v>
      </c>
      <c r="D22" s="12">
        <f t="shared" si="4"/>
        <v>5475.6629459999976</v>
      </c>
      <c r="E22" s="13"/>
      <c r="F22" s="12">
        <f t="shared" si="4"/>
        <v>5901.7721489999994</v>
      </c>
      <c r="G22" s="12">
        <f t="shared" si="4"/>
        <v>6084.2889900000009</v>
      </c>
      <c r="H22" s="12">
        <f t="shared" si="4"/>
        <v>6269.2898579999992</v>
      </c>
      <c r="I22" s="13">
        <f t="shared" si="4"/>
        <v>6513.6313709999995</v>
      </c>
      <c r="J22" s="12">
        <f t="shared" si="4"/>
        <v>6630.3017820000005</v>
      </c>
      <c r="K22" s="13">
        <f t="shared" si="4"/>
        <v>7241.2147079999995</v>
      </c>
      <c r="L22" s="12">
        <f t="shared" si="4"/>
        <v>7083.3409920000004</v>
      </c>
      <c r="M22" s="12">
        <f t="shared" si="4"/>
        <v>7980.6267449999987</v>
      </c>
      <c r="N22" s="13">
        <f t="shared" si="4"/>
        <v>8693.3453490000011</v>
      </c>
      <c r="O22" s="12">
        <f t="shared" si="4"/>
        <v>9143.6245290000006</v>
      </c>
      <c r="P22" s="13">
        <f t="shared" si="4"/>
        <v>9550.8866699999999</v>
      </c>
      <c r="Q22" s="12">
        <f t="shared" si="4"/>
        <v>10677.097196999997</v>
      </c>
      <c r="R22" s="14">
        <f t="shared" si="4"/>
        <v>10677.097196999997</v>
      </c>
    </row>
    <row r="23" spans="1:18" x14ac:dyDescent="0.25">
      <c r="B23" s="22"/>
      <c r="D23" s="21"/>
      <c r="F23" s="21"/>
      <c r="G23" s="21"/>
      <c r="H23" s="21"/>
      <c r="J23" s="21"/>
      <c r="L23" s="21"/>
      <c r="M23" s="21"/>
      <c r="O23" s="21"/>
      <c r="Q23" s="21"/>
    </row>
    <row r="24" spans="1:18" x14ac:dyDescent="0.25">
      <c r="A24" t="s">
        <v>326</v>
      </c>
      <c r="B24" s="22">
        <v>200</v>
      </c>
      <c r="C24">
        <v>200</v>
      </c>
      <c r="D24" s="21">
        <v>200</v>
      </c>
      <c r="F24" s="21">
        <v>200</v>
      </c>
      <c r="G24" s="21">
        <v>200</v>
      </c>
      <c r="H24" s="21">
        <v>200</v>
      </c>
      <c r="I24">
        <v>200</v>
      </c>
      <c r="J24" s="21">
        <v>200</v>
      </c>
      <c r="K24">
        <v>200</v>
      </c>
      <c r="L24" s="21">
        <v>200</v>
      </c>
      <c r="M24" s="21">
        <v>200</v>
      </c>
      <c r="N24">
        <v>200</v>
      </c>
      <c r="O24" s="21">
        <v>200</v>
      </c>
      <c r="P24">
        <v>200</v>
      </c>
      <c r="Q24" s="21">
        <v>200</v>
      </c>
      <c r="R24">
        <v>200</v>
      </c>
    </row>
    <row r="25" spans="1:18" x14ac:dyDescent="0.25">
      <c r="A25" s="11" t="s">
        <v>66</v>
      </c>
      <c r="B25" s="12">
        <f>+B16*0.962962</f>
        <v>1255.1150411799999</v>
      </c>
      <c r="C25" s="13">
        <f t="shared" ref="C25:R25" si="5">+C16*0.962962</f>
        <v>1271.6587283399999</v>
      </c>
      <c r="D25" s="12">
        <f t="shared" si="5"/>
        <v>1337.3038478799997</v>
      </c>
      <c r="E25" s="13"/>
      <c r="F25" s="12">
        <f t="shared" si="5"/>
        <v>1441.37115122</v>
      </c>
      <c r="G25" s="12">
        <f t="shared" si="5"/>
        <v>1485.9466622000002</v>
      </c>
      <c r="H25" s="12">
        <f t="shared" si="5"/>
        <v>1531.1288392399999</v>
      </c>
      <c r="I25" s="13">
        <f t="shared" si="5"/>
        <v>1590.80359438</v>
      </c>
      <c r="J25" s="12">
        <f t="shared" si="5"/>
        <v>1619.29763996</v>
      </c>
      <c r="K25" s="13">
        <f t="shared" si="5"/>
        <v>1768.4989722400001</v>
      </c>
      <c r="L25" s="12">
        <f t="shared" si="5"/>
        <v>1729.9419737599999</v>
      </c>
      <c r="M25" s="12">
        <f t="shared" si="5"/>
        <v>1949.0832361</v>
      </c>
      <c r="N25" s="13">
        <f t="shared" si="5"/>
        <v>2123.1482472200005</v>
      </c>
      <c r="O25" s="12">
        <f t="shared" si="5"/>
        <v>2233.1185076200004</v>
      </c>
      <c r="P25" s="13">
        <f t="shared" si="5"/>
        <v>2332.5828526</v>
      </c>
      <c r="Q25" s="12">
        <f t="shared" si="5"/>
        <v>2607.6336886599997</v>
      </c>
      <c r="R25" s="14">
        <f t="shared" si="5"/>
        <v>2607.6336886599997</v>
      </c>
    </row>
    <row r="26" spans="1:18" x14ac:dyDescent="0.25">
      <c r="A26" s="11" t="s">
        <v>330</v>
      </c>
      <c r="B26" s="15">
        <f>+B25*0.018673*6</f>
        <v>140.62057898372481</v>
      </c>
      <c r="C26" s="26">
        <f t="shared" ref="C26:R26" si="6">+C25*0.018673*6</f>
        <v>142.47410060575692</v>
      </c>
      <c r="D26" s="15">
        <f t="shared" si="6"/>
        <v>149.8288485087794</v>
      </c>
      <c r="E26" s="26">
        <f t="shared" si="6"/>
        <v>0</v>
      </c>
      <c r="F26" s="15">
        <f t="shared" si="6"/>
        <v>161.48834104038633</v>
      </c>
      <c r="G26" s="15">
        <f t="shared" si="6"/>
        <v>166.48249213956362</v>
      </c>
      <c r="H26" s="15">
        <f t="shared" si="6"/>
        <v>171.54461289077111</v>
      </c>
      <c r="I26" s="26">
        <f t="shared" si="6"/>
        <v>178.23045310714645</v>
      </c>
      <c r="J26" s="15">
        <f t="shared" si="6"/>
        <v>181.42286898583845</v>
      </c>
      <c r="K26" s="26">
        <f t="shared" si="6"/>
        <v>198.13908785182511</v>
      </c>
      <c r="L26" s="15">
        <f t="shared" si="6"/>
        <v>193.81923885612287</v>
      </c>
      <c r="M26" s="15">
        <f t="shared" si="6"/>
        <v>218.37138760617177</v>
      </c>
      <c r="N26" s="26">
        <f t="shared" si="6"/>
        <v>237.87328332203441</v>
      </c>
      <c r="O26" s="15">
        <f t="shared" si="6"/>
        <v>250.1941313567296</v>
      </c>
      <c r="P26" s="26">
        <f t="shared" si="6"/>
        <v>261.3379176395988</v>
      </c>
      <c r="Q26" s="15">
        <f t="shared" si="6"/>
        <v>292.15406321008902</v>
      </c>
      <c r="R26" s="27">
        <f t="shared" si="6"/>
        <v>292.15406321008902</v>
      </c>
    </row>
    <row r="27" spans="1:18" x14ac:dyDescent="0.25">
      <c r="A27" s="11" t="s">
        <v>328</v>
      </c>
      <c r="B27" s="15">
        <f>+B17*0.015</f>
        <v>254.16104999999999</v>
      </c>
      <c r="C27" s="26">
        <f t="shared" ref="C27:R27" si="7">+C17*0.015</f>
        <v>257.51114999999999</v>
      </c>
      <c r="D27" s="15">
        <f t="shared" si="7"/>
        <v>270.8042999999999</v>
      </c>
      <c r="E27" s="26"/>
      <c r="F27" s="15">
        <f t="shared" si="7"/>
        <v>291.87795</v>
      </c>
      <c r="G27" s="15">
        <f t="shared" si="7"/>
        <v>300.90450000000004</v>
      </c>
      <c r="H27" s="15">
        <f t="shared" si="7"/>
        <v>310.05389999999994</v>
      </c>
      <c r="I27" s="26">
        <f t="shared" si="7"/>
        <v>322.13804999999996</v>
      </c>
      <c r="J27" s="15">
        <f t="shared" si="7"/>
        <v>327.90809999999999</v>
      </c>
      <c r="K27" s="26">
        <f t="shared" si="7"/>
        <v>358.12139999999994</v>
      </c>
      <c r="L27" s="15">
        <f t="shared" si="7"/>
        <v>350.31360000000001</v>
      </c>
      <c r="M27" s="15">
        <f t="shared" si="7"/>
        <v>394.68974999999995</v>
      </c>
      <c r="N27" s="26">
        <f t="shared" si="7"/>
        <v>429.93795000000006</v>
      </c>
      <c r="O27" s="15">
        <f t="shared" si="7"/>
        <v>452.20695000000006</v>
      </c>
      <c r="P27" s="26">
        <f t="shared" si="7"/>
        <v>472.3485</v>
      </c>
      <c r="Q27" s="15">
        <f t="shared" si="7"/>
        <v>528.04634999999996</v>
      </c>
      <c r="R27" s="27">
        <f t="shared" si="7"/>
        <v>528.04634999999996</v>
      </c>
    </row>
    <row r="28" spans="1:18" x14ac:dyDescent="0.25">
      <c r="A28" s="11" t="s">
        <v>69</v>
      </c>
      <c r="B28" s="28">
        <v>66</v>
      </c>
      <c r="C28" s="29">
        <v>66</v>
      </c>
      <c r="D28" s="28">
        <v>66</v>
      </c>
      <c r="E28" s="29"/>
      <c r="F28" s="28">
        <v>66</v>
      </c>
      <c r="G28" s="28">
        <v>66</v>
      </c>
      <c r="H28" s="28">
        <v>66</v>
      </c>
      <c r="I28" s="29">
        <v>66</v>
      </c>
      <c r="J28" s="28">
        <v>66</v>
      </c>
      <c r="K28" s="29">
        <v>66</v>
      </c>
      <c r="L28" s="28">
        <v>66</v>
      </c>
      <c r="M28" s="28">
        <v>66</v>
      </c>
      <c r="N28" s="29">
        <v>66</v>
      </c>
      <c r="O28" s="28">
        <v>66</v>
      </c>
      <c r="P28" s="29">
        <v>66</v>
      </c>
      <c r="Q28" s="28">
        <v>66</v>
      </c>
      <c r="R28" s="30">
        <v>66</v>
      </c>
    </row>
    <row r="29" spans="1:18" x14ac:dyDescent="0.25">
      <c r="B29" s="22"/>
      <c r="D29" s="21"/>
      <c r="F29" s="21"/>
      <c r="G29" s="21"/>
      <c r="H29" s="21"/>
      <c r="J29" s="21"/>
      <c r="L29" s="21"/>
      <c r="M29" s="21"/>
      <c r="O29" s="21"/>
      <c r="Q29" s="21"/>
    </row>
    <row r="30" spans="1:18" x14ac:dyDescent="0.25">
      <c r="A30" s="11" t="s">
        <v>70</v>
      </c>
      <c r="B30" s="12">
        <f>+B17+B22+B25+B26+B27+B28+B24</f>
        <v>23999.103101163724</v>
      </c>
      <c r="C30" s="13">
        <f t="shared" ref="C30:R30" si="8">+C17+C22+C25+C26+C27+C28+C24</f>
        <v>24311.929431945755</v>
      </c>
      <c r="D30" s="12">
        <f t="shared" si="8"/>
        <v>25553.219942388772</v>
      </c>
      <c r="E30" s="13"/>
      <c r="F30" s="12">
        <f t="shared" si="8"/>
        <v>27521.039591260382</v>
      </c>
      <c r="G30" s="12">
        <f t="shared" si="8"/>
        <v>28363.922644339567</v>
      </c>
      <c r="H30" s="12">
        <f t="shared" si="8"/>
        <v>29218.277210130767</v>
      </c>
      <c r="I30" s="13">
        <f t="shared" si="8"/>
        <v>30346.673468487144</v>
      </c>
      <c r="J30" s="12">
        <f t="shared" si="8"/>
        <v>30885.470390945844</v>
      </c>
      <c r="K30" s="13">
        <f t="shared" si="8"/>
        <v>33706.734168091825</v>
      </c>
      <c r="L30" s="12">
        <f t="shared" si="8"/>
        <v>32977.655804616123</v>
      </c>
      <c r="M30" s="12">
        <f t="shared" si="8"/>
        <v>37121.421118706166</v>
      </c>
      <c r="N30" s="13">
        <f t="shared" si="8"/>
        <v>40412.834829542044</v>
      </c>
      <c r="O30" s="12">
        <f t="shared" si="8"/>
        <v>42492.274117976733</v>
      </c>
      <c r="P30" s="13">
        <f t="shared" si="8"/>
        <v>44373.055940239596</v>
      </c>
      <c r="Q30" s="12">
        <f t="shared" si="8"/>
        <v>49574.021298870073</v>
      </c>
      <c r="R30" s="14">
        <f t="shared" si="8"/>
        <v>49574.021298870073</v>
      </c>
    </row>
    <row r="31" spans="1:18" x14ac:dyDescent="0.25">
      <c r="A31" s="11"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22"/>
      <c r="C32" s="1"/>
      <c r="D32" s="22"/>
      <c r="E32" s="1"/>
      <c r="F32" s="22"/>
      <c r="G32" s="22"/>
      <c r="H32" s="22"/>
      <c r="I32" s="1"/>
      <c r="J32" s="22"/>
      <c r="K32" s="1"/>
      <c r="L32" s="22"/>
      <c r="M32" s="22"/>
      <c r="N32" s="1"/>
      <c r="O32" s="22"/>
      <c r="P32" s="1"/>
      <c r="Q32" s="22"/>
      <c r="R32" s="1"/>
    </row>
    <row r="33" spans="1:18" x14ac:dyDescent="0.25">
      <c r="A33" s="265" t="s">
        <v>71</v>
      </c>
      <c r="B33" s="266">
        <f>+B31+B30</f>
        <v>23999.103101163724</v>
      </c>
      <c r="C33" s="267">
        <f t="shared" ref="C33:R33" si="10">+C31+C30</f>
        <v>24311.929431945755</v>
      </c>
      <c r="D33" s="266">
        <f t="shared" si="10"/>
        <v>25553.219942388772</v>
      </c>
      <c r="E33" s="267"/>
      <c r="F33" s="266">
        <f t="shared" si="10"/>
        <v>27521.039591260382</v>
      </c>
      <c r="G33" s="266">
        <f t="shared" si="10"/>
        <v>28363.922644339567</v>
      </c>
      <c r="H33" s="266">
        <f t="shared" si="10"/>
        <v>29218.277210130767</v>
      </c>
      <c r="I33" s="267">
        <f t="shared" si="10"/>
        <v>30346.673468487144</v>
      </c>
      <c r="J33" s="266">
        <f t="shared" si="10"/>
        <v>30885.470390945844</v>
      </c>
      <c r="K33" s="267">
        <f t="shared" si="10"/>
        <v>33706.734168091825</v>
      </c>
      <c r="L33" s="266">
        <f t="shared" si="10"/>
        <v>32977.655804616123</v>
      </c>
      <c r="M33" s="266">
        <f t="shared" si="10"/>
        <v>37121.421118706166</v>
      </c>
      <c r="N33" s="267">
        <f t="shared" si="10"/>
        <v>40412.834829542044</v>
      </c>
      <c r="O33" s="266">
        <f t="shared" si="10"/>
        <v>42492.274117976733</v>
      </c>
      <c r="P33" s="267">
        <f t="shared" si="10"/>
        <v>44373.055940239596</v>
      </c>
      <c r="Q33" s="266">
        <f t="shared" si="10"/>
        <v>49574.021298870073</v>
      </c>
      <c r="R33" s="268">
        <f t="shared" si="10"/>
        <v>49574.021298870073</v>
      </c>
    </row>
    <row r="34" spans="1:18" x14ac:dyDescent="0.25">
      <c r="B34" s="22"/>
      <c r="C34" s="1"/>
      <c r="D34" s="22"/>
      <c r="E34" s="1"/>
      <c r="F34" s="22"/>
      <c r="G34" s="22"/>
      <c r="H34" s="22"/>
      <c r="I34" s="1"/>
      <c r="J34" s="22"/>
      <c r="K34" s="1"/>
      <c r="L34" s="22"/>
      <c r="M34" s="22"/>
      <c r="N34" s="1"/>
      <c r="O34" s="22"/>
      <c r="P34" s="1"/>
      <c r="Q34" s="22"/>
      <c r="R34" s="1"/>
    </row>
    <row r="35" spans="1:18" x14ac:dyDescent="0.25">
      <c r="A35" s="11" t="s">
        <v>21</v>
      </c>
      <c r="B35" s="12">
        <f>+ROUND(B33/$B$6,2)</f>
        <v>15.5</v>
      </c>
      <c r="C35" s="13">
        <f t="shared" ref="C35:R35" si="11">+ROUND(C33/$B$6,2)</f>
        <v>15.71</v>
      </c>
      <c r="D35" s="12">
        <f t="shared" si="11"/>
        <v>16.510000000000002</v>
      </c>
      <c r="E35" s="13"/>
      <c r="F35" s="12">
        <f t="shared" si="11"/>
        <v>17.78</v>
      </c>
      <c r="G35" s="12">
        <f t="shared" si="11"/>
        <v>18.32</v>
      </c>
      <c r="H35" s="12">
        <f t="shared" si="11"/>
        <v>18.87</v>
      </c>
      <c r="I35" s="13">
        <f t="shared" si="11"/>
        <v>19.600000000000001</v>
      </c>
      <c r="J35" s="12">
        <f t="shared" si="11"/>
        <v>19.95</v>
      </c>
      <c r="K35" s="13">
        <f t="shared" si="11"/>
        <v>21.77</v>
      </c>
      <c r="L35" s="12">
        <f t="shared" si="11"/>
        <v>21.3</v>
      </c>
      <c r="M35" s="12">
        <f t="shared" si="11"/>
        <v>23.98</v>
      </c>
      <c r="N35" s="13">
        <f t="shared" si="11"/>
        <v>26.11</v>
      </c>
      <c r="O35" s="12">
        <f t="shared" si="11"/>
        <v>27.45</v>
      </c>
      <c r="P35" s="13">
        <f t="shared" si="11"/>
        <v>28.66</v>
      </c>
      <c r="Q35" s="12">
        <f t="shared" si="11"/>
        <v>32.020000000000003</v>
      </c>
      <c r="R35" s="14">
        <f t="shared" si="11"/>
        <v>32.020000000000003</v>
      </c>
    </row>
    <row r="36" spans="1:18" x14ac:dyDescent="0.25">
      <c r="A36" s="11" t="s">
        <v>121</v>
      </c>
      <c r="B36" s="12">
        <f>+B33-B21-B27-B24</f>
        <v>23036.619951163724</v>
      </c>
      <c r="C36" s="13">
        <f t="shared" ref="C36:R36" si="12">+C33-C21-C27-C24</f>
        <v>23339.395981945756</v>
      </c>
      <c r="D36" s="12">
        <f t="shared" si="12"/>
        <v>24540.807042388773</v>
      </c>
      <c r="E36" s="13">
        <f t="shared" si="12"/>
        <v>0</v>
      </c>
      <c r="F36" s="12">
        <f t="shared" si="12"/>
        <v>26445.405741260383</v>
      </c>
      <c r="G36" s="12">
        <f t="shared" si="12"/>
        <v>27261.209144339566</v>
      </c>
      <c r="H36" s="12">
        <f t="shared" si="12"/>
        <v>28088.115510130767</v>
      </c>
      <c r="I36" s="13">
        <f t="shared" si="12"/>
        <v>29180.259318487144</v>
      </c>
      <c r="J36" s="12">
        <f t="shared" si="12"/>
        <v>29701.746090945842</v>
      </c>
      <c r="K36" s="13">
        <f t="shared" si="12"/>
        <v>32432.369968091825</v>
      </c>
      <c r="L36" s="12">
        <f t="shared" si="12"/>
        <v>31726.715004616122</v>
      </c>
      <c r="M36" s="12">
        <f t="shared" si="12"/>
        <v>35737.351868706166</v>
      </c>
      <c r="N36" s="13">
        <f t="shared" si="12"/>
        <v>38923.020979542045</v>
      </c>
      <c r="O36" s="12">
        <f t="shared" si="12"/>
        <v>40935.653267976733</v>
      </c>
      <c r="P36" s="13">
        <f t="shared" si="12"/>
        <v>42756.010440239595</v>
      </c>
      <c r="Q36" s="12">
        <f t="shared" si="12"/>
        <v>47789.882248870075</v>
      </c>
      <c r="R36" s="14">
        <f t="shared" si="12"/>
        <v>47789.882248870075</v>
      </c>
    </row>
    <row r="37" spans="1:18" x14ac:dyDescent="0.25">
      <c r="A37" s="11" t="s">
        <v>122</v>
      </c>
      <c r="B37" s="12">
        <f>+ROUND(B36/$B$6,2)</f>
        <v>14.88</v>
      </c>
      <c r="C37" s="13">
        <f t="shared" ref="C37:R37" si="13">+ROUND(C36/$B$6,2)</f>
        <v>15.08</v>
      </c>
      <c r="D37" s="12">
        <f t="shared" si="13"/>
        <v>15.85</v>
      </c>
      <c r="E37" s="13"/>
      <c r="F37" s="12">
        <f t="shared" si="13"/>
        <v>17.079999999999998</v>
      </c>
      <c r="G37" s="12">
        <f t="shared" si="13"/>
        <v>17.61</v>
      </c>
      <c r="H37" s="12">
        <f t="shared" si="13"/>
        <v>18.14</v>
      </c>
      <c r="I37" s="13">
        <f t="shared" si="13"/>
        <v>18.850000000000001</v>
      </c>
      <c r="J37" s="12">
        <f t="shared" si="13"/>
        <v>19.190000000000001</v>
      </c>
      <c r="K37" s="13">
        <f t="shared" si="13"/>
        <v>20.95</v>
      </c>
      <c r="L37" s="12">
        <f t="shared" si="13"/>
        <v>20.5</v>
      </c>
      <c r="M37" s="12">
        <f t="shared" si="13"/>
        <v>23.09</v>
      </c>
      <c r="N37" s="13">
        <f t="shared" si="13"/>
        <v>25.14</v>
      </c>
      <c r="O37" s="12">
        <f t="shared" si="13"/>
        <v>26.44</v>
      </c>
      <c r="P37" s="13">
        <f t="shared" si="13"/>
        <v>27.62</v>
      </c>
      <c r="Q37" s="12">
        <f t="shared" si="13"/>
        <v>30.87</v>
      </c>
      <c r="R37" s="14">
        <f t="shared" si="13"/>
        <v>30.87</v>
      </c>
    </row>
    <row r="38" spans="1:18" x14ac:dyDescent="0.25">
      <c r="A38" s="11" t="s">
        <v>329</v>
      </c>
      <c r="B38" s="12">
        <f>+B37*0.039</f>
        <v>0.58032000000000006</v>
      </c>
      <c r="C38" s="13">
        <f t="shared" ref="C38:R38" si="14">+C37*0.039</f>
        <v>0.58811999999999998</v>
      </c>
      <c r="D38" s="12">
        <f t="shared" si="14"/>
        <v>0.61814999999999998</v>
      </c>
      <c r="E38" s="13"/>
      <c r="F38" s="12">
        <f t="shared" si="14"/>
        <v>0.66611999999999993</v>
      </c>
      <c r="G38" s="12">
        <f t="shared" si="14"/>
        <v>0.68679000000000001</v>
      </c>
      <c r="H38" s="12">
        <f t="shared" si="14"/>
        <v>0.70745999999999998</v>
      </c>
      <c r="I38" s="13">
        <f t="shared" si="14"/>
        <v>0.73515000000000008</v>
      </c>
      <c r="J38" s="12">
        <f t="shared" si="14"/>
        <v>0.74841000000000002</v>
      </c>
      <c r="K38" s="13">
        <f t="shared" si="14"/>
        <v>0.81704999999999994</v>
      </c>
      <c r="L38" s="12">
        <f t="shared" si="14"/>
        <v>0.79949999999999999</v>
      </c>
      <c r="M38" s="12">
        <f t="shared" si="14"/>
        <v>0.90051000000000003</v>
      </c>
      <c r="N38" s="13">
        <f t="shared" si="14"/>
        <v>0.98046</v>
      </c>
      <c r="O38" s="12">
        <f t="shared" si="14"/>
        <v>1.0311600000000001</v>
      </c>
      <c r="P38" s="13">
        <f t="shared" si="14"/>
        <v>1.07718</v>
      </c>
      <c r="Q38" s="12">
        <f t="shared" si="14"/>
        <v>1.2039299999999999</v>
      </c>
      <c r="R38" s="14">
        <f t="shared" si="14"/>
        <v>1.2039299999999999</v>
      </c>
    </row>
    <row r="39" spans="1:18" x14ac:dyDescent="0.25">
      <c r="A39" s="11"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31" t="s">
        <v>73</v>
      </c>
      <c r="B40" s="269">
        <f>+B39+B35</f>
        <v>15.5</v>
      </c>
      <c r="C40" s="270">
        <f t="shared" ref="C40:R40" si="16">+C39+C35</f>
        <v>15.71</v>
      </c>
      <c r="D40" s="269">
        <f t="shared" si="16"/>
        <v>16.510000000000002</v>
      </c>
      <c r="E40" s="270"/>
      <c r="F40" s="269">
        <f t="shared" si="16"/>
        <v>17.78</v>
      </c>
      <c r="G40" s="269">
        <f t="shared" si="16"/>
        <v>18.32</v>
      </c>
      <c r="H40" s="269">
        <f t="shared" si="16"/>
        <v>18.87</v>
      </c>
      <c r="I40" s="270">
        <f t="shared" si="16"/>
        <v>19.600000000000001</v>
      </c>
      <c r="J40" s="269">
        <f t="shared" si="16"/>
        <v>19.95</v>
      </c>
      <c r="K40" s="270">
        <f t="shared" si="16"/>
        <v>21.77</v>
      </c>
      <c r="L40" s="269">
        <f t="shared" si="16"/>
        <v>21.3</v>
      </c>
      <c r="M40" s="269">
        <f t="shared" si="16"/>
        <v>23.98</v>
      </c>
      <c r="N40" s="270">
        <f t="shared" si="16"/>
        <v>26.11</v>
      </c>
      <c r="O40" s="269">
        <f t="shared" si="16"/>
        <v>27.45</v>
      </c>
      <c r="P40" s="270">
        <f t="shared" si="16"/>
        <v>28.66</v>
      </c>
      <c r="Q40" s="269">
        <f t="shared" si="16"/>
        <v>32.020000000000003</v>
      </c>
      <c r="R40" s="270">
        <f t="shared" si="16"/>
        <v>32.020000000000003</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89" customFormat="1" x14ac:dyDescent="0.25">
      <c r="B45" s="91" t="s">
        <v>74</v>
      </c>
    </row>
    <row r="46" spans="1:18" s="89" customFormat="1" x14ac:dyDescent="0.25">
      <c r="B46" s="91" t="s">
        <v>74</v>
      </c>
    </row>
    <row r="47" spans="1:18" s="89" customFormat="1" x14ac:dyDescent="0.25">
      <c r="B47" s="91"/>
    </row>
    <row r="48" spans="1:18" s="89" customFormat="1" x14ac:dyDescent="0.25">
      <c r="B48" s="91" t="s">
        <v>75</v>
      </c>
      <c r="C48" s="90">
        <f>4.97%</f>
        <v>4.9699999999999994E-2</v>
      </c>
    </row>
    <row r="49" spans="1:18" s="89" customFormat="1" x14ac:dyDescent="0.25">
      <c r="B49" s="91" t="s">
        <v>76</v>
      </c>
      <c r="C49" s="90">
        <f>4.4%</f>
        <v>4.4000000000000004E-2</v>
      </c>
    </row>
    <row r="50" spans="1:18" s="89" customFormat="1" x14ac:dyDescent="0.25">
      <c r="B50" s="91" t="s">
        <v>50</v>
      </c>
      <c r="C50" s="92">
        <v>0</v>
      </c>
    </row>
    <row r="51" spans="1:18" s="89" customFormat="1" x14ac:dyDescent="0.25">
      <c r="B51" s="91" t="s">
        <v>77</v>
      </c>
      <c r="C51" s="92">
        <v>0</v>
      </c>
    </row>
    <row r="52" spans="1:18" s="89" customFormat="1" x14ac:dyDescent="0.25">
      <c r="B52" s="91"/>
    </row>
    <row r="53" spans="1:18" s="89" customFormat="1" x14ac:dyDescent="0.25">
      <c r="B53" s="91" t="s">
        <v>53</v>
      </c>
    </row>
    <row r="54" spans="1:18" s="89" customFormat="1" x14ac:dyDescent="0.25">
      <c r="B54" s="91" t="s">
        <v>78</v>
      </c>
    </row>
    <row r="55" spans="1:18" s="89" customFormat="1" x14ac:dyDescent="0.25">
      <c r="B55" s="91"/>
    </row>
    <row r="56" spans="1:18" s="89" customFormat="1" x14ac:dyDescent="0.25">
      <c r="A56" s="89" t="s">
        <v>79</v>
      </c>
      <c r="B56" s="257">
        <v>2747.04</v>
      </c>
      <c r="C56" s="258">
        <v>2783.24</v>
      </c>
      <c r="D56" s="257">
        <v>2926.92</v>
      </c>
      <c r="E56" s="258"/>
      <c r="F56" s="257">
        <v>3154.69</v>
      </c>
      <c r="G56" s="257">
        <v>3252.25</v>
      </c>
      <c r="H56" s="257">
        <v>3351.14</v>
      </c>
      <c r="I56" s="258">
        <v>3481.75</v>
      </c>
      <c r="J56" s="257">
        <v>3544.11</v>
      </c>
      <c r="K56" s="258">
        <v>3870.67</v>
      </c>
      <c r="L56" s="257">
        <v>3786.28</v>
      </c>
      <c r="M56" s="257">
        <v>4265.91</v>
      </c>
      <c r="N56" s="258">
        <v>4646.88</v>
      </c>
      <c r="O56" s="257">
        <v>4887.57</v>
      </c>
      <c r="P56" s="258">
        <v>5105.26</v>
      </c>
      <c r="Q56" s="257">
        <v>5707.26</v>
      </c>
      <c r="R56" s="259">
        <v>5707.26</v>
      </c>
    </row>
    <row r="58" spans="1:18" x14ac:dyDescent="0.25">
      <c r="B58" s="256"/>
      <c r="C58" s="256"/>
      <c r="D58" s="256"/>
      <c r="F58" s="256"/>
      <c r="G58" s="256"/>
    </row>
    <row r="59" spans="1:18" x14ac:dyDescent="0.25">
      <c r="B59" s="34"/>
      <c r="C59" s="34"/>
    </row>
    <row r="60" spans="1:18" x14ac:dyDescent="0.25">
      <c r="C60" s="1"/>
      <c r="D60" s="1"/>
      <c r="F60" s="1"/>
      <c r="G60" s="1"/>
    </row>
    <row r="61" spans="1:18" x14ac:dyDescent="0.25">
      <c r="B61" s="34"/>
      <c r="C61" s="34"/>
      <c r="D61" s="34"/>
      <c r="E61" s="1"/>
      <c r="F61" s="34"/>
      <c r="G61" s="34"/>
      <c r="H61" s="1"/>
      <c r="I61" s="1"/>
      <c r="J61" s="1"/>
      <c r="K61" s="1"/>
      <c r="L61" s="1"/>
      <c r="M61" s="1"/>
      <c r="N61" s="1"/>
      <c r="O61" s="1"/>
      <c r="P61" s="1"/>
      <c r="Q61" s="1"/>
      <c r="R61" s="1"/>
    </row>
    <row r="62" spans="1:18" x14ac:dyDescent="0.25">
      <c r="B62" s="34"/>
      <c r="C62" s="34"/>
    </row>
    <row r="64" spans="1:18" x14ac:dyDescent="0.25">
      <c r="B64" s="271"/>
      <c r="C64" s="271"/>
      <c r="D64" s="271"/>
      <c r="E64" s="271"/>
      <c r="F64" s="271"/>
      <c r="G64" s="271"/>
      <c r="H64" s="271"/>
      <c r="I64" s="271"/>
      <c r="J64" s="271"/>
      <c r="K64" s="271"/>
      <c r="L64" s="271"/>
      <c r="M64" s="271"/>
      <c r="N64" s="271"/>
      <c r="O64" s="271"/>
      <c r="P64" s="271"/>
      <c r="Q64" s="271"/>
      <c r="R64" s="271"/>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34"/>
      <c r="C67" s="34"/>
      <c r="D67" s="34"/>
      <c r="E67" s="34"/>
      <c r="F67" s="34"/>
      <c r="G67" s="34"/>
      <c r="H67" s="34"/>
      <c r="I67" s="34"/>
      <c r="J67" s="34"/>
      <c r="K67" s="34"/>
      <c r="L67" s="34"/>
      <c r="M67" s="34"/>
      <c r="N67" s="34"/>
      <c r="O67" s="34"/>
      <c r="P67" s="34"/>
      <c r="Q67" s="34"/>
      <c r="R67" s="34"/>
    </row>
  </sheetData>
  <conditionalFormatting sqref="B2">
    <cfRule type="expression" dxfId="1" priority="1">
      <formula>B1="Generale"</formula>
    </cfRule>
  </conditionalFormatting>
  <dataValidations count="2">
    <dataValidation type="list" allowBlank="1" showInputMessage="1" showErrorMessage="1" sqref="B5" xr:uid="{00000000-0002-0000-0600-000000000000}">
      <formula1>$B$53:$B$54</formula1>
    </dataValidation>
    <dataValidation type="list" allowBlank="1" showInputMessage="1" showErrorMessage="1" sqref="B1" xr:uid="{00000000-0002-0000-0600-000001000000}">
      <formula1>$B$45:$B$46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7"/>
  <sheetViews>
    <sheetView topLeftCell="A4" workbookViewId="0">
      <selection activeCell="S14" sqref="S14"/>
    </sheetView>
  </sheetViews>
  <sheetFormatPr defaultRowHeight="15" x14ac:dyDescent="0.25"/>
  <cols>
    <col min="1" max="1" width="44.28515625" bestFit="1" customWidth="1"/>
    <col min="2" max="2" width="9.140625" style="1"/>
    <col min="4" max="4" width="11.140625" bestFit="1" customWidth="1"/>
    <col min="9" max="9" width="13.28515625" bestFit="1" customWidth="1"/>
  </cols>
  <sheetData>
    <row r="1" spans="1:19" x14ac:dyDescent="0.25">
      <c r="A1" t="s">
        <v>48</v>
      </c>
      <c r="B1" s="2" t="s">
        <v>74</v>
      </c>
    </row>
    <row r="2" spans="1:19" x14ac:dyDescent="0.25">
      <c r="A2" t="s">
        <v>49</v>
      </c>
      <c r="B2" s="2" t="str">
        <f>+INPUT!C3</f>
        <v>Sicilia</v>
      </c>
    </row>
    <row r="3" spans="1:19" x14ac:dyDescent="0.25">
      <c r="A3" t="s">
        <v>51</v>
      </c>
      <c r="B3" s="3">
        <f>+IF(B1="Generale",0.039,INDEX(C48:C51,MATCH(B2,B48:B51,0)))</f>
        <v>0</v>
      </c>
    </row>
    <row r="4" spans="1:19" x14ac:dyDescent="0.25">
      <c r="B4" s="3"/>
    </row>
    <row r="5" spans="1:19" x14ac:dyDescent="0.25">
      <c r="A5" t="s">
        <v>52</v>
      </c>
      <c r="B5" s="4" t="s">
        <v>78</v>
      </c>
    </row>
    <row r="6" spans="1:19" x14ac:dyDescent="0.25">
      <c r="A6" t="s">
        <v>134</v>
      </c>
      <c r="B6">
        <v>1548</v>
      </c>
      <c r="C6">
        <v>1548</v>
      </c>
    </row>
    <row r="7" spans="1:19" x14ac:dyDescent="0.25">
      <c r="B7"/>
    </row>
    <row r="8" spans="1:19" ht="15.75" thickBot="1" x14ac:dyDescent="0.3">
      <c r="B8" s="256"/>
    </row>
    <row r="9" spans="1:19" s="10" customFormat="1" x14ac:dyDescent="0.25">
      <c r="A9" s="5" t="s">
        <v>54</v>
      </c>
      <c r="B9" s="6" t="s">
        <v>4</v>
      </c>
      <c r="C9" s="7" t="s">
        <v>5</v>
      </c>
      <c r="D9" s="8" t="s">
        <v>3</v>
      </c>
      <c r="E9" s="7" t="s">
        <v>6</v>
      </c>
      <c r="F9" s="8" t="s">
        <v>2</v>
      </c>
      <c r="G9" s="8" t="s">
        <v>1</v>
      </c>
      <c r="H9" s="8" t="s">
        <v>7</v>
      </c>
      <c r="I9" s="7" t="s">
        <v>8</v>
      </c>
      <c r="J9" s="8" t="s">
        <v>0</v>
      </c>
      <c r="K9" s="7" t="s">
        <v>9</v>
      </c>
      <c r="L9" s="8" t="s">
        <v>10</v>
      </c>
      <c r="M9" s="8" t="s">
        <v>11</v>
      </c>
      <c r="N9" s="7" t="s">
        <v>12</v>
      </c>
      <c r="O9" s="8" t="s">
        <v>13</v>
      </c>
      <c r="P9" s="7" t="s">
        <v>14</v>
      </c>
      <c r="Q9" s="8" t="s">
        <v>15</v>
      </c>
      <c r="R9" s="9" t="s">
        <v>16</v>
      </c>
    </row>
    <row r="10" spans="1:19" x14ac:dyDescent="0.25">
      <c r="A10" s="11" t="s">
        <v>55</v>
      </c>
      <c r="B10" s="257">
        <v>1254.5899999999999</v>
      </c>
      <c r="C10" s="258">
        <v>1266.21</v>
      </c>
      <c r="D10" s="257">
        <v>1325.21</v>
      </c>
      <c r="E10" s="258"/>
      <c r="F10" s="257">
        <v>1425.21</v>
      </c>
      <c r="G10" s="257">
        <v>1467.9</v>
      </c>
      <c r="H10" s="257">
        <v>1511.25</v>
      </c>
      <c r="I10" s="258">
        <v>1511.25</v>
      </c>
      <c r="J10" s="257">
        <v>1594.15</v>
      </c>
      <c r="K10" s="258">
        <v>1594.15</v>
      </c>
      <c r="L10" s="257">
        <v>1697.04</v>
      </c>
      <c r="M10" s="257">
        <v>1831.74</v>
      </c>
      <c r="N10" s="258">
        <v>1831.74</v>
      </c>
      <c r="O10" s="257">
        <v>2023.07</v>
      </c>
      <c r="P10" s="258">
        <v>2023.07</v>
      </c>
      <c r="Q10" s="257">
        <v>2310.41</v>
      </c>
      <c r="R10" s="259">
        <v>2310.41</v>
      </c>
      <c r="S10" s="1"/>
    </row>
    <row r="11" spans="1:19" x14ac:dyDescent="0.25">
      <c r="A11" s="11" t="s">
        <v>56</v>
      </c>
      <c r="B11" s="260">
        <v>34.86</v>
      </c>
      <c r="C11" s="261">
        <v>40.29</v>
      </c>
      <c r="D11" s="262">
        <v>48.81</v>
      </c>
      <c r="E11" s="261"/>
      <c r="F11" s="262">
        <v>55.77</v>
      </c>
      <c r="G11" s="262">
        <v>58.89</v>
      </c>
      <c r="H11" s="262">
        <v>61.98</v>
      </c>
      <c r="I11" s="261">
        <v>61.98</v>
      </c>
      <c r="J11" s="262">
        <v>69.72</v>
      </c>
      <c r="K11" s="261">
        <v>69.72</v>
      </c>
      <c r="L11" s="262">
        <v>80.58</v>
      </c>
      <c r="M11" s="262">
        <v>94.5</v>
      </c>
      <c r="N11" s="261">
        <v>94.5</v>
      </c>
      <c r="O11" s="262">
        <v>118.53</v>
      </c>
      <c r="P11" s="261">
        <v>118.53</v>
      </c>
      <c r="Q11" s="262">
        <v>139.44</v>
      </c>
      <c r="R11" s="263">
        <v>139.44</v>
      </c>
      <c r="S11" s="1"/>
    </row>
    <row r="12" spans="1:19" x14ac:dyDescent="0.25">
      <c r="A12" s="11" t="s">
        <v>57</v>
      </c>
      <c r="B12" s="260"/>
      <c r="C12" s="258"/>
      <c r="D12" s="257"/>
      <c r="E12" s="258"/>
      <c r="F12" s="257"/>
      <c r="G12" s="257"/>
      <c r="H12" s="257"/>
      <c r="I12" s="261">
        <v>61.97</v>
      </c>
      <c r="J12" s="257"/>
      <c r="K12" s="261">
        <v>154.94</v>
      </c>
      <c r="L12" s="257"/>
      <c r="M12" s="257"/>
      <c r="N12" s="261">
        <v>258.23</v>
      </c>
      <c r="O12" s="257"/>
      <c r="P12" s="261">
        <v>258.23</v>
      </c>
      <c r="Q12" s="257"/>
      <c r="R12" s="263">
        <v>232.41</v>
      </c>
      <c r="S12" s="1"/>
    </row>
    <row r="13" spans="1:19" x14ac:dyDescent="0.25">
      <c r="A13" s="11" t="s">
        <v>58</v>
      </c>
      <c r="B13" s="260"/>
      <c r="C13" s="258"/>
      <c r="D13" s="257"/>
      <c r="E13" s="261"/>
      <c r="F13" s="257"/>
      <c r="G13" s="257"/>
      <c r="H13" s="257"/>
      <c r="I13" s="258"/>
      <c r="J13" s="257"/>
      <c r="K13" s="258"/>
      <c r="L13" s="257"/>
      <c r="M13" s="262">
        <v>77.47</v>
      </c>
      <c r="N13" s="258"/>
      <c r="O13" s="262">
        <v>154.94</v>
      </c>
      <c r="P13" s="258"/>
      <c r="Q13" s="262">
        <v>232.41</v>
      </c>
      <c r="R13" s="259"/>
      <c r="S13" s="1"/>
    </row>
    <row r="14" spans="1:19" x14ac:dyDescent="0.25">
      <c r="A14" s="11" t="s">
        <v>59</v>
      </c>
      <c r="B14" s="260">
        <v>31.99</v>
      </c>
      <c r="C14" s="261">
        <v>32.29</v>
      </c>
      <c r="D14" s="262">
        <v>33.79</v>
      </c>
      <c r="E14" s="261"/>
      <c r="F14" s="262">
        <v>36.340000000000003</v>
      </c>
      <c r="G14" s="262">
        <v>37.43</v>
      </c>
      <c r="H14" s="262">
        <v>38.54</v>
      </c>
      <c r="I14" s="261">
        <v>38.54</v>
      </c>
      <c r="J14" s="262">
        <v>40.65</v>
      </c>
      <c r="K14" s="261">
        <v>40.65</v>
      </c>
      <c r="L14" s="262">
        <v>43.27</v>
      </c>
      <c r="M14" s="262">
        <v>46.71</v>
      </c>
      <c r="N14" s="261">
        <v>46.71</v>
      </c>
      <c r="O14" s="262">
        <v>51.59</v>
      </c>
      <c r="P14" s="261">
        <v>51.59</v>
      </c>
      <c r="Q14" s="262">
        <v>58.92</v>
      </c>
      <c r="R14" s="263">
        <v>58.92</v>
      </c>
      <c r="S14" s="1"/>
    </row>
    <row r="15" spans="1:19" x14ac:dyDescent="0.25">
      <c r="B15" s="19"/>
      <c r="C15" s="264"/>
      <c r="D15" s="22"/>
      <c r="F15" s="22"/>
      <c r="G15" s="22"/>
      <c r="H15" s="22"/>
      <c r="I15" s="1"/>
      <c r="J15" s="22"/>
      <c r="K15" s="1"/>
      <c r="L15" s="22"/>
      <c r="M15" s="22"/>
      <c r="N15" s="1"/>
      <c r="O15" s="22"/>
      <c r="P15" s="1"/>
      <c r="Q15" s="22"/>
      <c r="R15" s="1"/>
    </row>
    <row r="16" spans="1:19" x14ac:dyDescent="0.25">
      <c r="A16" s="11" t="s">
        <v>60</v>
      </c>
      <c r="B16" s="12">
        <f>+SUM(B10:B14)</f>
        <v>1321.4399999999998</v>
      </c>
      <c r="C16" s="13">
        <f t="shared" ref="C16:R16" si="0">+SUM(C10:C14)</f>
        <v>1338.79</v>
      </c>
      <c r="D16" s="12">
        <f t="shared" si="0"/>
        <v>1407.81</v>
      </c>
      <c r="E16" s="13">
        <f t="shared" si="0"/>
        <v>0</v>
      </c>
      <c r="F16" s="12">
        <f t="shared" si="0"/>
        <v>1517.32</v>
      </c>
      <c r="G16" s="12">
        <f t="shared" si="0"/>
        <v>1564.2200000000003</v>
      </c>
      <c r="H16" s="12">
        <f t="shared" si="0"/>
        <v>1611.77</v>
      </c>
      <c r="I16" s="13">
        <f t="shared" si="0"/>
        <v>1673.74</v>
      </c>
      <c r="J16" s="12">
        <f t="shared" si="0"/>
        <v>1704.5200000000002</v>
      </c>
      <c r="K16" s="13">
        <f t="shared" si="0"/>
        <v>1859.4600000000003</v>
      </c>
      <c r="L16" s="12">
        <f t="shared" si="0"/>
        <v>1820.8899999999999</v>
      </c>
      <c r="M16" s="12">
        <f t="shared" si="0"/>
        <v>2050.42</v>
      </c>
      <c r="N16" s="13">
        <f t="shared" si="0"/>
        <v>2231.1800000000003</v>
      </c>
      <c r="O16" s="12">
        <f t="shared" si="0"/>
        <v>2348.13</v>
      </c>
      <c r="P16" s="13">
        <f t="shared" si="0"/>
        <v>2451.42</v>
      </c>
      <c r="Q16" s="12">
        <f t="shared" si="0"/>
        <v>2741.18</v>
      </c>
      <c r="R16" s="14">
        <f t="shared" si="0"/>
        <v>2741.18</v>
      </c>
    </row>
    <row r="17" spans="1:18" x14ac:dyDescent="0.25">
      <c r="A17" s="265" t="s">
        <v>61</v>
      </c>
      <c r="B17" s="266">
        <f>+B16*13</f>
        <v>17178.719999999998</v>
      </c>
      <c r="C17" s="267">
        <f t="shared" ref="C17:R17" si="1">+C16*13</f>
        <v>17404.27</v>
      </c>
      <c r="D17" s="266">
        <f t="shared" si="1"/>
        <v>18301.53</v>
      </c>
      <c r="E17" s="267">
        <f t="shared" si="1"/>
        <v>0</v>
      </c>
      <c r="F17" s="266">
        <f t="shared" si="1"/>
        <v>19725.16</v>
      </c>
      <c r="G17" s="266">
        <f t="shared" si="1"/>
        <v>20334.860000000004</v>
      </c>
      <c r="H17" s="266">
        <f t="shared" si="1"/>
        <v>20953.009999999998</v>
      </c>
      <c r="I17" s="267">
        <f t="shared" si="1"/>
        <v>21758.62</v>
      </c>
      <c r="J17" s="266">
        <f t="shared" si="1"/>
        <v>22158.760000000002</v>
      </c>
      <c r="K17" s="267">
        <f t="shared" si="1"/>
        <v>24172.980000000003</v>
      </c>
      <c r="L17" s="266">
        <f t="shared" si="1"/>
        <v>23671.57</v>
      </c>
      <c r="M17" s="266">
        <f t="shared" si="1"/>
        <v>26655.46</v>
      </c>
      <c r="N17" s="267">
        <f t="shared" si="1"/>
        <v>29005.340000000004</v>
      </c>
      <c r="O17" s="266">
        <f t="shared" si="1"/>
        <v>30525.690000000002</v>
      </c>
      <c r="P17" s="267">
        <f t="shared" si="1"/>
        <v>31868.46</v>
      </c>
      <c r="Q17" s="266">
        <f t="shared" si="1"/>
        <v>35635.339999999997</v>
      </c>
      <c r="R17" s="268">
        <f t="shared" si="1"/>
        <v>35635.339999999997</v>
      </c>
    </row>
    <row r="18" spans="1:18" x14ac:dyDescent="0.25">
      <c r="B18" s="22"/>
      <c r="D18" s="21"/>
      <c r="F18" s="21"/>
      <c r="G18" s="21"/>
      <c r="H18" s="21"/>
      <c r="J18" s="21"/>
      <c r="L18" s="21"/>
      <c r="M18" s="21"/>
      <c r="O18" s="21"/>
      <c r="Q18" s="21"/>
    </row>
    <row r="19" spans="1:18" x14ac:dyDescent="0.25">
      <c r="A19" s="11" t="s">
        <v>62</v>
      </c>
      <c r="B19" s="12"/>
      <c r="C19" s="23"/>
      <c r="D19" s="24"/>
      <c r="E19" s="23"/>
      <c r="F19" s="24"/>
      <c r="G19" s="24"/>
      <c r="H19" s="24"/>
      <c r="I19" s="23"/>
      <c r="J19" s="24"/>
      <c r="K19" s="23"/>
      <c r="L19" s="24"/>
      <c r="M19" s="24"/>
      <c r="N19" s="23"/>
      <c r="O19" s="24"/>
      <c r="P19" s="23"/>
      <c r="Q19" s="24"/>
      <c r="R19" s="25"/>
    </row>
    <row r="20" spans="1:18" x14ac:dyDescent="0.25">
      <c r="A20" s="11" t="s">
        <v>325</v>
      </c>
      <c r="B20" s="15">
        <f>+B17*0.2733</f>
        <v>4694.9441759999991</v>
      </c>
      <c r="C20" s="26">
        <f t="shared" ref="C20:R20" si="2">+C17*0.2733</f>
        <v>4756.5869910000001</v>
      </c>
      <c r="D20" s="15">
        <f t="shared" si="2"/>
        <v>5001.8081489999995</v>
      </c>
      <c r="E20" s="26"/>
      <c r="F20" s="15">
        <f t="shared" si="2"/>
        <v>5390.8862279999994</v>
      </c>
      <c r="G20" s="15">
        <f t="shared" si="2"/>
        <v>5557.5172380000013</v>
      </c>
      <c r="H20" s="15">
        <f t="shared" si="2"/>
        <v>5726.4576329999991</v>
      </c>
      <c r="I20" s="26">
        <f t="shared" si="2"/>
        <v>5946.6308459999991</v>
      </c>
      <c r="J20" s="15">
        <f t="shared" si="2"/>
        <v>6055.9891080000007</v>
      </c>
      <c r="K20" s="26">
        <f t="shared" si="2"/>
        <v>6606.4754340000009</v>
      </c>
      <c r="L20" s="15">
        <f t="shared" si="2"/>
        <v>6469.4400809999997</v>
      </c>
      <c r="M20" s="15">
        <f t="shared" si="2"/>
        <v>7284.9372179999991</v>
      </c>
      <c r="N20" s="26">
        <f t="shared" si="2"/>
        <v>7927.1594220000006</v>
      </c>
      <c r="O20" s="15">
        <f t="shared" si="2"/>
        <v>8342.6710770000009</v>
      </c>
      <c r="P20" s="26">
        <f t="shared" si="2"/>
        <v>8709.6501179999996</v>
      </c>
      <c r="Q20" s="15">
        <f t="shared" si="2"/>
        <v>9739.1384219999982</v>
      </c>
      <c r="R20" s="27">
        <f t="shared" si="2"/>
        <v>9739.1384219999982</v>
      </c>
    </row>
    <row r="21" spans="1:18" x14ac:dyDescent="0.25">
      <c r="A21" s="11" t="s">
        <v>64</v>
      </c>
      <c r="B21" s="15">
        <f>+B17*0.03</f>
        <v>515.36159999999995</v>
      </c>
      <c r="C21" s="26">
        <f t="shared" ref="C21:R21" si="3">+C17*0.03</f>
        <v>522.12810000000002</v>
      </c>
      <c r="D21" s="15">
        <f t="shared" si="3"/>
        <v>549.04589999999996</v>
      </c>
      <c r="E21" s="26"/>
      <c r="F21" s="15">
        <f t="shared" si="3"/>
        <v>591.75479999999993</v>
      </c>
      <c r="G21" s="15">
        <f t="shared" si="3"/>
        <v>610.0458000000001</v>
      </c>
      <c r="H21" s="15">
        <f t="shared" si="3"/>
        <v>628.59029999999996</v>
      </c>
      <c r="I21" s="26">
        <f t="shared" si="3"/>
        <v>652.7586</v>
      </c>
      <c r="J21" s="15">
        <f t="shared" si="3"/>
        <v>664.76280000000008</v>
      </c>
      <c r="K21" s="26">
        <f t="shared" si="3"/>
        <v>725.18940000000009</v>
      </c>
      <c r="L21" s="15">
        <f t="shared" si="3"/>
        <v>710.14709999999991</v>
      </c>
      <c r="M21" s="15">
        <f t="shared" si="3"/>
        <v>799.66379999999992</v>
      </c>
      <c r="N21" s="26">
        <f t="shared" si="3"/>
        <v>870.16020000000003</v>
      </c>
      <c r="O21" s="15">
        <f t="shared" si="3"/>
        <v>915.77070000000003</v>
      </c>
      <c r="P21" s="26">
        <f t="shared" si="3"/>
        <v>956.05379999999991</v>
      </c>
      <c r="Q21" s="15">
        <f t="shared" si="3"/>
        <v>1069.0601999999999</v>
      </c>
      <c r="R21" s="27">
        <f t="shared" si="3"/>
        <v>1069.0601999999999</v>
      </c>
    </row>
    <row r="22" spans="1:18" x14ac:dyDescent="0.25">
      <c r="A22" s="11" t="s">
        <v>65</v>
      </c>
      <c r="B22" s="12">
        <f>+B21+B20</f>
        <v>5210.3057759999992</v>
      </c>
      <c r="C22" s="13">
        <f t="shared" ref="C22:R22" si="4">+C21+C20</f>
        <v>5278.715091</v>
      </c>
      <c r="D22" s="12">
        <f t="shared" si="4"/>
        <v>5550.8540489999996</v>
      </c>
      <c r="E22" s="13"/>
      <c r="F22" s="12">
        <f t="shared" si="4"/>
        <v>5982.6410279999991</v>
      </c>
      <c r="G22" s="12">
        <f t="shared" si="4"/>
        <v>6167.5630380000011</v>
      </c>
      <c r="H22" s="12">
        <f t="shared" si="4"/>
        <v>6355.0479329999989</v>
      </c>
      <c r="I22" s="13">
        <f t="shared" si="4"/>
        <v>6599.3894459999992</v>
      </c>
      <c r="J22" s="12">
        <f t="shared" si="4"/>
        <v>6720.7519080000011</v>
      </c>
      <c r="K22" s="13">
        <f t="shared" si="4"/>
        <v>7331.6648340000011</v>
      </c>
      <c r="L22" s="12">
        <f t="shared" si="4"/>
        <v>7179.5871809999999</v>
      </c>
      <c r="M22" s="12">
        <f t="shared" si="4"/>
        <v>8084.6010179999994</v>
      </c>
      <c r="N22" s="13">
        <f t="shared" si="4"/>
        <v>8797.3196220000009</v>
      </c>
      <c r="O22" s="12">
        <f t="shared" si="4"/>
        <v>9258.441777</v>
      </c>
      <c r="P22" s="13">
        <f t="shared" si="4"/>
        <v>9665.7039179999992</v>
      </c>
      <c r="Q22" s="12">
        <f t="shared" si="4"/>
        <v>10808.198621999998</v>
      </c>
      <c r="R22" s="14">
        <f t="shared" si="4"/>
        <v>10808.198621999998</v>
      </c>
    </row>
    <row r="23" spans="1:18" x14ac:dyDescent="0.25">
      <c r="B23" s="22"/>
      <c r="D23" s="21"/>
      <c r="F23" s="21"/>
      <c r="G23" s="21"/>
      <c r="H23" s="21"/>
      <c r="J23" s="21"/>
      <c r="L23" s="21"/>
      <c r="M23" s="21"/>
      <c r="O23" s="21"/>
      <c r="Q23" s="21"/>
    </row>
    <row r="24" spans="1:18" x14ac:dyDescent="0.25">
      <c r="A24" t="s">
        <v>326</v>
      </c>
      <c r="B24" s="22">
        <v>200</v>
      </c>
      <c r="C24">
        <v>200</v>
      </c>
      <c r="D24" s="21">
        <v>200</v>
      </c>
      <c r="F24" s="21">
        <v>200</v>
      </c>
      <c r="G24" s="21">
        <v>200</v>
      </c>
      <c r="H24" s="21">
        <v>200</v>
      </c>
      <c r="I24">
        <v>200</v>
      </c>
      <c r="J24" s="21">
        <v>200</v>
      </c>
      <c r="K24">
        <v>200</v>
      </c>
      <c r="L24" s="21">
        <v>200</v>
      </c>
      <c r="M24" s="21">
        <v>200</v>
      </c>
      <c r="N24">
        <v>200</v>
      </c>
      <c r="O24" s="21">
        <v>200</v>
      </c>
      <c r="P24">
        <v>200</v>
      </c>
      <c r="Q24" s="21">
        <v>200</v>
      </c>
      <c r="R24">
        <v>200</v>
      </c>
    </row>
    <row r="25" spans="1:18" x14ac:dyDescent="0.25">
      <c r="A25" s="11" t="s">
        <v>66</v>
      </c>
      <c r="B25" s="12">
        <f>+B16*0.962962</f>
        <v>1272.4965052799998</v>
      </c>
      <c r="C25" s="13">
        <f t="shared" ref="C25:R25" si="5">+C16*0.962962</f>
        <v>1289.20389598</v>
      </c>
      <c r="D25" s="12">
        <f t="shared" si="5"/>
        <v>1355.66753322</v>
      </c>
      <c r="E25" s="13"/>
      <c r="F25" s="12">
        <f t="shared" si="5"/>
        <v>1461.1215018399998</v>
      </c>
      <c r="G25" s="12">
        <f t="shared" si="5"/>
        <v>1506.2844196400001</v>
      </c>
      <c r="H25" s="12">
        <f t="shared" si="5"/>
        <v>1552.07326274</v>
      </c>
      <c r="I25" s="13">
        <f t="shared" si="5"/>
        <v>1611.7480178799999</v>
      </c>
      <c r="J25" s="12">
        <f t="shared" si="5"/>
        <v>1641.3879882400001</v>
      </c>
      <c r="K25" s="13">
        <f t="shared" si="5"/>
        <v>1790.5893205200002</v>
      </c>
      <c r="L25" s="12">
        <f t="shared" si="5"/>
        <v>1753.4478761799999</v>
      </c>
      <c r="M25" s="12">
        <f t="shared" si="5"/>
        <v>1974.4765440400001</v>
      </c>
      <c r="N25" s="13">
        <f t="shared" si="5"/>
        <v>2148.5415551600004</v>
      </c>
      <c r="O25" s="12">
        <f t="shared" si="5"/>
        <v>2261.1599610600001</v>
      </c>
      <c r="P25" s="13">
        <f t="shared" si="5"/>
        <v>2360.6243060400002</v>
      </c>
      <c r="Q25" s="12">
        <f t="shared" si="5"/>
        <v>2639.6521751599998</v>
      </c>
      <c r="R25" s="14">
        <f t="shared" si="5"/>
        <v>2639.6521751599998</v>
      </c>
    </row>
    <row r="26" spans="1:18" x14ac:dyDescent="0.25">
      <c r="A26" s="11" t="s">
        <v>330</v>
      </c>
      <c r="B26" s="15">
        <f>+B25*0.018673*6</f>
        <v>142.56796345856063</v>
      </c>
      <c r="C26" s="26">
        <f t="shared" ref="C26:R26" si="6">+C25*0.018673*6</f>
        <v>144.43982609780721</v>
      </c>
      <c r="D26" s="15">
        <f t="shared" si="6"/>
        <v>151.88627908690233</v>
      </c>
      <c r="E26" s="26">
        <f t="shared" si="6"/>
        <v>0</v>
      </c>
      <c r="F26" s="15">
        <f t="shared" si="6"/>
        <v>163.70113082314987</v>
      </c>
      <c r="G26" s="15">
        <f t="shared" si="6"/>
        <v>168.76109380762634</v>
      </c>
      <c r="H26" s="15">
        <f t="shared" si="6"/>
        <v>173.89118421086411</v>
      </c>
      <c r="I26" s="26">
        <f t="shared" si="6"/>
        <v>180.57702442723942</v>
      </c>
      <c r="J26" s="15">
        <f t="shared" si="6"/>
        <v>183.89782742643311</v>
      </c>
      <c r="K26" s="26">
        <f t="shared" si="6"/>
        <v>200.61404629241977</v>
      </c>
      <c r="L26" s="15">
        <f t="shared" si="6"/>
        <v>196.45279315145481</v>
      </c>
      <c r="M26" s="15">
        <f t="shared" si="6"/>
        <v>221.21640304115351</v>
      </c>
      <c r="N26" s="26">
        <f t="shared" si="6"/>
        <v>240.7182987570161</v>
      </c>
      <c r="O26" s="15">
        <f t="shared" si="6"/>
        <v>253.33583971724028</v>
      </c>
      <c r="P26" s="26">
        <f t="shared" si="6"/>
        <v>264.47962600010953</v>
      </c>
      <c r="Q26" s="15">
        <f t="shared" si="6"/>
        <v>295.74135040057604</v>
      </c>
      <c r="R26" s="27">
        <f t="shared" si="6"/>
        <v>295.74135040057604</v>
      </c>
    </row>
    <row r="27" spans="1:18" x14ac:dyDescent="0.25">
      <c r="A27" s="11" t="s">
        <v>328</v>
      </c>
      <c r="B27" s="15">
        <f>+B17*0.015</f>
        <v>257.68079999999998</v>
      </c>
      <c r="C27" s="26">
        <f t="shared" ref="C27:R27" si="7">+C17*0.015</f>
        <v>261.06405000000001</v>
      </c>
      <c r="D27" s="15">
        <f t="shared" si="7"/>
        <v>274.52294999999998</v>
      </c>
      <c r="E27" s="26"/>
      <c r="F27" s="15">
        <f t="shared" si="7"/>
        <v>295.87739999999997</v>
      </c>
      <c r="G27" s="15">
        <f t="shared" si="7"/>
        <v>305.02290000000005</v>
      </c>
      <c r="H27" s="15">
        <f t="shared" si="7"/>
        <v>314.29514999999998</v>
      </c>
      <c r="I27" s="26">
        <f t="shared" si="7"/>
        <v>326.3793</v>
      </c>
      <c r="J27" s="15">
        <f t="shared" si="7"/>
        <v>332.38140000000004</v>
      </c>
      <c r="K27" s="26">
        <f t="shared" si="7"/>
        <v>362.59470000000005</v>
      </c>
      <c r="L27" s="15">
        <f t="shared" si="7"/>
        <v>355.07354999999995</v>
      </c>
      <c r="M27" s="15">
        <f t="shared" si="7"/>
        <v>399.83189999999996</v>
      </c>
      <c r="N27" s="26">
        <f t="shared" si="7"/>
        <v>435.08010000000002</v>
      </c>
      <c r="O27" s="15">
        <f t="shared" si="7"/>
        <v>457.88535000000002</v>
      </c>
      <c r="P27" s="26">
        <f t="shared" si="7"/>
        <v>478.02689999999996</v>
      </c>
      <c r="Q27" s="15">
        <f t="shared" si="7"/>
        <v>534.53009999999995</v>
      </c>
      <c r="R27" s="27">
        <f t="shared" si="7"/>
        <v>534.53009999999995</v>
      </c>
    </row>
    <row r="28" spans="1:18" x14ac:dyDescent="0.25">
      <c r="A28" s="11" t="s">
        <v>69</v>
      </c>
      <c r="B28" s="28">
        <v>66</v>
      </c>
      <c r="C28" s="29">
        <v>66</v>
      </c>
      <c r="D28" s="28">
        <v>66</v>
      </c>
      <c r="E28" s="29"/>
      <c r="F28" s="28">
        <v>66</v>
      </c>
      <c r="G28" s="28">
        <v>66</v>
      </c>
      <c r="H28" s="28">
        <v>66</v>
      </c>
      <c r="I28" s="29">
        <v>66</v>
      </c>
      <c r="J28" s="28">
        <v>66</v>
      </c>
      <c r="K28" s="29">
        <v>66</v>
      </c>
      <c r="L28" s="28">
        <v>66</v>
      </c>
      <c r="M28" s="28">
        <v>66</v>
      </c>
      <c r="N28" s="29">
        <v>66</v>
      </c>
      <c r="O28" s="28">
        <v>66</v>
      </c>
      <c r="P28" s="29">
        <v>66</v>
      </c>
      <c r="Q28" s="28">
        <v>66</v>
      </c>
      <c r="R28" s="30">
        <v>66</v>
      </c>
    </row>
    <row r="29" spans="1:18" x14ac:dyDescent="0.25">
      <c r="B29" s="22"/>
      <c r="D29" s="21"/>
      <c r="F29" s="21"/>
      <c r="G29" s="21"/>
      <c r="H29" s="21"/>
      <c r="J29" s="21"/>
      <c r="L29" s="21"/>
      <c r="M29" s="21"/>
      <c r="O29" s="21"/>
      <c r="Q29" s="21"/>
    </row>
    <row r="30" spans="1:18" x14ac:dyDescent="0.25">
      <c r="A30" s="11" t="s">
        <v>70</v>
      </c>
      <c r="B30" s="12">
        <f>+B17+B22+B25+B26+B27+B28+B24</f>
        <v>24327.771044738554</v>
      </c>
      <c r="C30" s="13">
        <f t="shared" ref="C30:R30" si="8">+C17+C22+C25+C26+C27+C28+C24</f>
        <v>24643.692863077813</v>
      </c>
      <c r="D30" s="12">
        <f t="shared" si="8"/>
        <v>25900.460811306901</v>
      </c>
      <c r="E30" s="13"/>
      <c r="F30" s="12">
        <f t="shared" si="8"/>
        <v>27894.501060663148</v>
      </c>
      <c r="G30" s="12">
        <f t="shared" si="8"/>
        <v>28748.49145144763</v>
      </c>
      <c r="H30" s="12">
        <f t="shared" si="8"/>
        <v>29614.317529950862</v>
      </c>
      <c r="I30" s="13">
        <f t="shared" si="8"/>
        <v>30742.713788307236</v>
      </c>
      <c r="J30" s="12">
        <f t="shared" si="8"/>
        <v>31303.179123666436</v>
      </c>
      <c r="K30" s="13">
        <f t="shared" si="8"/>
        <v>34124.442900812428</v>
      </c>
      <c r="L30" s="12">
        <f t="shared" si="8"/>
        <v>33422.131400331455</v>
      </c>
      <c r="M30" s="12">
        <f t="shared" si="8"/>
        <v>37601.58586508115</v>
      </c>
      <c r="N30" s="13">
        <f t="shared" si="8"/>
        <v>40892.999575917027</v>
      </c>
      <c r="O30" s="12">
        <f t="shared" si="8"/>
        <v>43022.512927777243</v>
      </c>
      <c r="P30" s="13">
        <f t="shared" si="8"/>
        <v>44903.294750040106</v>
      </c>
      <c r="Q30" s="12">
        <f t="shared" si="8"/>
        <v>50179.462247560572</v>
      </c>
      <c r="R30" s="14">
        <f t="shared" si="8"/>
        <v>50179.462247560572</v>
      </c>
    </row>
    <row r="31" spans="1:18" x14ac:dyDescent="0.25">
      <c r="A31" s="11" t="s">
        <v>52</v>
      </c>
      <c r="B31" s="12">
        <f>+IF($B$5="Si",B56,0)</f>
        <v>0</v>
      </c>
      <c r="C31" s="13">
        <f t="shared" ref="C31:R31" si="9">+IF($B$5="Si",C56,0)</f>
        <v>0</v>
      </c>
      <c r="D31" s="12">
        <f t="shared" si="9"/>
        <v>0</v>
      </c>
      <c r="E31" s="13"/>
      <c r="F31" s="12">
        <f t="shared" si="9"/>
        <v>0</v>
      </c>
      <c r="G31" s="12">
        <f t="shared" si="9"/>
        <v>0</v>
      </c>
      <c r="H31" s="12">
        <f t="shared" si="9"/>
        <v>0</v>
      </c>
      <c r="I31" s="13">
        <f t="shared" si="9"/>
        <v>0</v>
      </c>
      <c r="J31" s="12">
        <f t="shared" si="9"/>
        <v>0</v>
      </c>
      <c r="K31" s="13">
        <f t="shared" si="9"/>
        <v>0</v>
      </c>
      <c r="L31" s="12">
        <f t="shared" si="9"/>
        <v>0</v>
      </c>
      <c r="M31" s="12">
        <f t="shared" si="9"/>
        <v>0</v>
      </c>
      <c r="N31" s="13">
        <f t="shared" si="9"/>
        <v>0</v>
      </c>
      <c r="O31" s="12">
        <f t="shared" si="9"/>
        <v>0</v>
      </c>
      <c r="P31" s="13">
        <f t="shared" si="9"/>
        <v>0</v>
      </c>
      <c r="Q31" s="12">
        <f t="shared" si="9"/>
        <v>0</v>
      </c>
      <c r="R31" s="14">
        <f t="shared" si="9"/>
        <v>0</v>
      </c>
    </row>
    <row r="32" spans="1:18" x14ac:dyDescent="0.25">
      <c r="B32" s="22"/>
      <c r="C32" s="1"/>
      <c r="D32" s="22"/>
      <c r="E32" s="1"/>
      <c r="F32" s="22"/>
      <c r="G32" s="22"/>
      <c r="H32" s="22"/>
      <c r="I32" s="1"/>
      <c r="J32" s="22"/>
      <c r="K32" s="1"/>
      <c r="L32" s="22"/>
      <c r="M32" s="22"/>
      <c r="N32" s="1"/>
      <c r="O32" s="22"/>
      <c r="P32" s="1"/>
      <c r="Q32" s="22"/>
      <c r="R32" s="1"/>
    </row>
    <row r="33" spans="1:18" x14ac:dyDescent="0.25">
      <c r="A33" s="265" t="s">
        <v>71</v>
      </c>
      <c r="B33" s="266">
        <f>+B31+B30</f>
        <v>24327.771044738554</v>
      </c>
      <c r="C33" s="267">
        <f t="shared" ref="C33:R33" si="10">+C31+C30</f>
        <v>24643.692863077813</v>
      </c>
      <c r="D33" s="266">
        <f t="shared" si="10"/>
        <v>25900.460811306901</v>
      </c>
      <c r="E33" s="267"/>
      <c r="F33" s="266">
        <f t="shared" si="10"/>
        <v>27894.501060663148</v>
      </c>
      <c r="G33" s="266">
        <f t="shared" si="10"/>
        <v>28748.49145144763</v>
      </c>
      <c r="H33" s="266">
        <f t="shared" si="10"/>
        <v>29614.317529950862</v>
      </c>
      <c r="I33" s="267">
        <f t="shared" si="10"/>
        <v>30742.713788307236</v>
      </c>
      <c r="J33" s="266">
        <f t="shared" si="10"/>
        <v>31303.179123666436</v>
      </c>
      <c r="K33" s="267">
        <f t="shared" si="10"/>
        <v>34124.442900812428</v>
      </c>
      <c r="L33" s="266">
        <f t="shared" si="10"/>
        <v>33422.131400331455</v>
      </c>
      <c r="M33" s="266">
        <f t="shared" si="10"/>
        <v>37601.58586508115</v>
      </c>
      <c r="N33" s="267">
        <f t="shared" si="10"/>
        <v>40892.999575917027</v>
      </c>
      <c r="O33" s="266">
        <f t="shared" si="10"/>
        <v>43022.512927777243</v>
      </c>
      <c r="P33" s="267">
        <f t="shared" si="10"/>
        <v>44903.294750040106</v>
      </c>
      <c r="Q33" s="266">
        <f t="shared" si="10"/>
        <v>50179.462247560572</v>
      </c>
      <c r="R33" s="268">
        <f t="shared" si="10"/>
        <v>50179.462247560572</v>
      </c>
    </row>
    <row r="34" spans="1:18" x14ac:dyDescent="0.25">
      <c r="B34" s="22"/>
      <c r="C34" s="1"/>
      <c r="D34" s="22"/>
      <c r="E34" s="1"/>
      <c r="F34" s="22"/>
      <c r="G34" s="22"/>
      <c r="H34" s="22"/>
      <c r="I34" s="1"/>
      <c r="J34" s="22"/>
      <c r="K34" s="1"/>
      <c r="L34" s="22"/>
      <c r="M34" s="22"/>
      <c r="N34" s="1"/>
      <c r="O34" s="22"/>
      <c r="P34" s="1"/>
      <c r="Q34" s="22"/>
      <c r="R34" s="1"/>
    </row>
    <row r="35" spans="1:18" x14ac:dyDescent="0.25">
      <c r="A35" s="11" t="s">
        <v>21</v>
      </c>
      <c r="B35" s="12">
        <f>+ROUND(B33/$B$6,2)</f>
        <v>15.72</v>
      </c>
      <c r="C35" s="13">
        <f t="shared" ref="C35:R35" si="11">+ROUND(C33/$B$6,2)</f>
        <v>15.92</v>
      </c>
      <c r="D35" s="12">
        <f t="shared" si="11"/>
        <v>16.73</v>
      </c>
      <c r="E35" s="13"/>
      <c r="F35" s="12">
        <f t="shared" si="11"/>
        <v>18.02</v>
      </c>
      <c r="G35" s="12">
        <f t="shared" si="11"/>
        <v>18.57</v>
      </c>
      <c r="H35" s="12">
        <f t="shared" si="11"/>
        <v>19.13</v>
      </c>
      <c r="I35" s="13">
        <f t="shared" si="11"/>
        <v>19.86</v>
      </c>
      <c r="J35" s="12">
        <f t="shared" si="11"/>
        <v>20.22</v>
      </c>
      <c r="K35" s="13">
        <f t="shared" si="11"/>
        <v>22.04</v>
      </c>
      <c r="L35" s="12">
        <f t="shared" si="11"/>
        <v>21.59</v>
      </c>
      <c r="M35" s="12">
        <f t="shared" si="11"/>
        <v>24.29</v>
      </c>
      <c r="N35" s="13">
        <f t="shared" si="11"/>
        <v>26.42</v>
      </c>
      <c r="O35" s="12">
        <f t="shared" si="11"/>
        <v>27.79</v>
      </c>
      <c r="P35" s="13">
        <f t="shared" si="11"/>
        <v>29.01</v>
      </c>
      <c r="Q35" s="12">
        <f t="shared" si="11"/>
        <v>32.42</v>
      </c>
      <c r="R35" s="14">
        <f t="shared" si="11"/>
        <v>32.42</v>
      </c>
    </row>
    <row r="36" spans="1:18" x14ac:dyDescent="0.25">
      <c r="A36" s="11" t="s">
        <v>121</v>
      </c>
      <c r="B36" s="12">
        <f>+B33-B21-B27-B24</f>
        <v>23354.728644738556</v>
      </c>
      <c r="C36" s="13">
        <f t="shared" ref="C36:R36" si="12">+C33-C21-C27-C24</f>
        <v>23660.50071307781</v>
      </c>
      <c r="D36" s="12">
        <f t="shared" si="12"/>
        <v>24876.891961306901</v>
      </c>
      <c r="E36" s="13">
        <f t="shared" si="12"/>
        <v>0</v>
      </c>
      <c r="F36" s="12">
        <f t="shared" si="12"/>
        <v>26806.868860663148</v>
      </c>
      <c r="G36" s="12">
        <f t="shared" si="12"/>
        <v>27633.42275144763</v>
      </c>
      <c r="H36" s="12">
        <f t="shared" si="12"/>
        <v>28471.43207995086</v>
      </c>
      <c r="I36" s="13">
        <f t="shared" si="12"/>
        <v>29563.575888307234</v>
      </c>
      <c r="J36" s="12">
        <f t="shared" si="12"/>
        <v>30106.034923666437</v>
      </c>
      <c r="K36" s="13">
        <f t="shared" si="12"/>
        <v>32836.658800812424</v>
      </c>
      <c r="L36" s="12">
        <f t="shared" si="12"/>
        <v>32156.910750331455</v>
      </c>
      <c r="M36" s="12">
        <f t="shared" si="12"/>
        <v>36202.09016508115</v>
      </c>
      <c r="N36" s="13">
        <f t="shared" si="12"/>
        <v>39387.759275917029</v>
      </c>
      <c r="O36" s="12">
        <f t="shared" si="12"/>
        <v>41448.856877777245</v>
      </c>
      <c r="P36" s="13">
        <f t="shared" si="12"/>
        <v>43269.214050040107</v>
      </c>
      <c r="Q36" s="12">
        <f t="shared" si="12"/>
        <v>48375.871947560576</v>
      </c>
      <c r="R36" s="14">
        <f t="shared" si="12"/>
        <v>48375.871947560576</v>
      </c>
    </row>
    <row r="37" spans="1:18" x14ac:dyDescent="0.25">
      <c r="A37" s="11" t="s">
        <v>122</v>
      </c>
      <c r="B37" s="12">
        <f>+ROUND(B36/$B$6,2)</f>
        <v>15.09</v>
      </c>
      <c r="C37" s="13">
        <f t="shared" ref="C37:R37" si="13">+ROUND(C36/$B$6,2)</f>
        <v>15.28</v>
      </c>
      <c r="D37" s="12">
        <f t="shared" si="13"/>
        <v>16.07</v>
      </c>
      <c r="E37" s="13"/>
      <c r="F37" s="12">
        <f t="shared" si="13"/>
        <v>17.32</v>
      </c>
      <c r="G37" s="12">
        <f t="shared" si="13"/>
        <v>17.850000000000001</v>
      </c>
      <c r="H37" s="12">
        <f t="shared" si="13"/>
        <v>18.39</v>
      </c>
      <c r="I37" s="13">
        <f t="shared" si="13"/>
        <v>19.100000000000001</v>
      </c>
      <c r="J37" s="12">
        <f t="shared" si="13"/>
        <v>19.45</v>
      </c>
      <c r="K37" s="13">
        <f t="shared" si="13"/>
        <v>21.21</v>
      </c>
      <c r="L37" s="12">
        <f t="shared" si="13"/>
        <v>20.77</v>
      </c>
      <c r="M37" s="12">
        <f t="shared" si="13"/>
        <v>23.39</v>
      </c>
      <c r="N37" s="13">
        <f t="shared" si="13"/>
        <v>25.44</v>
      </c>
      <c r="O37" s="12">
        <f t="shared" si="13"/>
        <v>26.78</v>
      </c>
      <c r="P37" s="13">
        <f t="shared" si="13"/>
        <v>27.95</v>
      </c>
      <c r="Q37" s="12">
        <f t="shared" si="13"/>
        <v>31.25</v>
      </c>
      <c r="R37" s="14">
        <f t="shared" si="13"/>
        <v>31.25</v>
      </c>
    </row>
    <row r="38" spans="1:18" x14ac:dyDescent="0.25">
      <c r="A38" s="11" t="s">
        <v>329</v>
      </c>
      <c r="B38" s="12">
        <f>+B37*0.039</f>
        <v>0.58850999999999998</v>
      </c>
      <c r="C38" s="13">
        <f t="shared" ref="C38:R38" si="14">+C37*0.039</f>
        <v>0.59592000000000001</v>
      </c>
      <c r="D38" s="12">
        <f t="shared" si="14"/>
        <v>0.62673000000000001</v>
      </c>
      <c r="E38" s="13"/>
      <c r="F38" s="12">
        <f t="shared" si="14"/>
        <v>0.67547999999999997</v>
      </c>
      <c r="G38" s="12">
        <f t="shared" si="14"/>
        <v>0.69615000000000005</v>
      </c>
      <c r="H38" s="12">
        <f t="shared" si="14"/>
        <v>0.71721000000000001</v>
      </c>
      <c r="I38" s="13">
        <f t="shared" si="14"/>
        <v>0.74490000000000001</v>
      </c>
      <c r="J38" s="12">
        <f t="shared" si="14"/>
        <v>0.75854999999999995</v>
      </c>
      <c r="K38" s="13">
        <f t="shared" si="14"/>
        <v>0.82718999999999998</v>
      </c>
      <c r="L38" s="12">
        <f t="shared" si="14"/>
        <v>0.81003000000000003</v>
      </c>
      <c r="M38" s="12">
        <f t="shared" si="14"/>
        <v>0.91221000000000008</v>
      </c>
      <c r="N38" s="13">
        <f t="shared" si="14"/>
        <v>0.99216000000000004</v>
      </c>
      <c r="O38" s="12">
        <f t="shared" si="14"/>
        <v>1.0444200000000001</v>
      </c>
      <c r="P38" s="13">
        <f t="shared" si="14"/>
        <v>1.09005</v>
      </c>
      <c r="Q38" s="12">
        <f t="shared" si="14"/>
        <v>1.21875</v>
      </c>
      <c r="R38" s="14">
        <f t="shared" si="14"/>
        <v>1.21875</v>
      </c>
    </row>
    <row r="39" spans="1:18" x14ac:dyDescent="0.25">
      <c r="A39" s="11" t="s">
        <v>72</v>
      </c>
      <c r="B39" s="12">
        <f>+ROUND(B37*$B$3,2)</f>
        <v>0</v>
      </c>
      <c r="C39" s="13">
        <f t="shared" ref="C39:R39" si="15">+ROUND(C37*$B$3,2)</f>
        <v>0</v>
      </c>
      <c r="D39" s="12">
        <f t="shared" si="15"/>
        <v>0</v>
      </c>
      <c r="E39" s="13"/>
      <c r="F39" s="12">
        <f t="shared" si="15"/>
        <v>0</v>
      </c>
      <c r="G39" s="12">
        <f t="shared" si="15"/>
        <v>0</v>
      </c>
      <c r="H39" s="12">
        <f t="shared" si="15"/>
        <v>0</v>
      </c>
      <c r="I39" s="13">
        <f t="shared" si="15"/>
        <v>0</v>
      </c>
      <c r="J39" s="12">
        <f t="shared" si="15"/>
        <v>0</v>
      </c>
      <c r="K39" s="13">
        <f t="shared" si="15"/>
        <v>0</v>
      </c>
      <c r="L39" s="12">
        <f t="shared" si="15"/>
        <v>0</v>
      </c>
      <c r="M39" s="12">
        <f t="shared" si="15"/>
        <v>0</v>
      </c>
      <c r="N39" s="13">
        <f t="shared" si="15"/>
        <v>0</v>
      </c>
      <c r="O39" s="12">
        <f t="shared" si="15"/>
        <v>0</v>
      </c>
      <c r="P39" s="13">
        <f t="shared" si="15"/>
        <v>0</v>
      </c>
      <c r="Q39" s="12">
        <f t="shared" si="15"/>
        <v>0</v>
      </c>
      <c r="R39" s="14">
        <f t="shared" si="15"/>
        <v>0</v>
      </c>
    </row>
    <row r="40" spans="1:18" x14ac:dyDescent="0.25">
      <c r="A40" s="31" t="s">
        <v>73</v>
      </c>
      <c r="B40" s="269">
        <f>+B39+B35</f>
        <v>15.72</v>
      </c>
      <c r="C40" s="270">
        <f t="shared" ref="C40:R40" si="16">+C39+C35</f>
        <v>15.92</v>
      </c>
      <c r="D40" s="269">
        <f t="shared" si="16"/>
        <v>16.73</v>
      </c>
      <c r="E40" s="270"/>
      <c r="F40" s="269">
        <f t="shared" si="16"/>
        <v>18.02</v>
      </c>
      <c r="G40" s="269">
        <f t="shared" si="16"/>
        <v>18.57</v>
      </c>
      <c r="H40" s="269">
        <f t="shared" si="16"/>
        <v>19.13</v>
      </c>
      <c r="I40" s="270">
        <f t="shared" si="16"/>
        <v>19.86</v>
      </c>
      <c r="J40" s="269">
        <f t="shared" si="16"/>
        <v>20.22</v>
      </c>
      <c r="K40" s="270">
        <f t="shared" si="16"/>
        <v>22.04</v>
      </c>
      <c r="L40" s="269">
        <f t="shared" si="16"/>
        <v>21.59</v>
      </c>
      <c r="M40" s="269">
        <f t="shared" si="16"/>
        <v>24.29</v>
      </c>
      <c r="N40" s="270">
        <f t="shared" si="16"/>
        <v>26.42</v>
      </c>
      <c r="O40" s="269">
        <f t="shared" si="16"/>
        <v>27.79</v>
      </c>
      <c r="P40" s="270">
        <f t="shared" si="16"/>
        <v>29.01</v>
      </c>
      <c r="Q40" s="269">
        <f t="shared" si="16"/>
        <v>32.42</v>
      </c>
      <c r="R40" s="270">
        <f t="shared" si="16"/>
        <v>32.42</v>
      </c>
    </row>
    <row r="41" spans="1:18" x14ac:dyDescent="0.25">
      <c r="C41" s="1"/>
      <c r="D41" s="1"/>
      <c r="E41" s="1"/>
      <c r="F41" s="1"/>
      <c r="G41" s="1"/>
      <c r="H41" s="1"/>
      <c r="I41" s="1"/>
      <c r="J41" s="1"/>
      <c r="K41" s="1"/>
      <c r="L41" s="1"/>
      <c r="M41" s="1"/>
      <c r="N41" s="1"/>
      <c r="O41" s="1"/>
      <c r="P41" s="1"/>
      <c r="Q41" s="1"/>
      <c r="R41" s="1"/>
    </row>
    <row r="42" spans="1:18" x14ac:dyDescent="0.25">
      <c r="C42" s="1"/>
      <c r="D42" s="1"/>
      <c r="E42" s="1"/>
      <c r="F42" s="1"/>
      <c r="G42" s="1"/>
      <c r="H42" s="1"/>
      <c r="I42" s="1"/>
      <c r="J42" s="1"/>
      <c r="K42" s="1"/>
      <c r="L42" s="1"/>
      <c r="M42" s="1"/>
      <c r="N42" s="1"/>
      <c r="O42" s="1"/>
      <c r="P42" s="1"/>
      <c r="Q42" s="1"/>
      <c r="R42" s="1"/>
    </row>
    <row r="43" spans="1:18" s="1" customFormat="1" x14ac:dyDescent="0.25"/>
    <row r="44" spans="1:18" x14ac:dyDescent="0.25">
      <c r="C44" s="1"/>
      <c r="D44" s="1"/>
      <c r="E44" s="1"/>
      <c r="F44" s="1"/>
      <c r="G44" s="1"/>
      <c r="H44" s="1"/>
      <c r="I44" s="1"/>
      <c r="J44" s="1"/>
      <c r="K44" s="1"/>
      <c r="L44" s="1"/>
      <c r="M44" s="1"/>
      <c r="N44" s="1"/>
      <c r="O44" s="1"/>
      <c r="P44" s="1"/>
      <c r="Q44" s="1"/>
      <c r="R44" s="1"/>
    </row>
    <row r="45" spans="1:18" s="89" customFormat="1" x14ac:dyDescent="0.25">
      <c r="B45" s="91" t="s">
        <v>74</v>
      </c>
    </row>
    <row r="46" spans="1:18" s="89" customFormat="1" x14ac:dyDescent="0.25">
      <c r="B46" s="91" t="s">
        <v>74</v>
      </c>
    </row>
    <row r="47" spans="1:18" s="89" customFormat="1" x14ac:dyDescent="0.25">
      <c r="B47" s="91"/>
    </row>
    <row r="48" spans="1:18" s="89" customFormat="1" x14ac:dyDescent="0.25">
      <c r="B48" s="91" t="s">
        <v>75</v>
      </c>
      <c r="C48" s="90">
        <f>4.97%</f>
        <v>4.9699999999999994E-2</v>
      </c>
    </row>
    <row r="49" spans="1:18" s="89" customFormat="1" x14ac:dyDescent="0.25">
      <c r="B49" s="91" t="s">
        <v>76</v>
      </c>
      <c r="C49" s="90">
        <f>4.4%</f>
        <v>4.4000000000000004E-2</v>
      </c>
    </row>
    <row r="50" spans="1:18" s="89" customFormat="1" x14ac:dyDescent="0.25">
      <c r="B50" s="91" t="s">
        <v>50</v>
      </c>
      <c r="C50" s="92">
        <v>0</v>
      </c>
    </row>
    <row r="51" spans="1:18" s="89" customFormat="1" x14ac:dyDescent="0.25">
      <c r="B51" s="91" t="s">
        <v>77</v>
      </c>
      <c r="C51" s="92">
        <v>0</v>
      </c>
    </row>
    <row r="52" spans="1:18" s="89" customFormat="1" x14ac:dyDescent="0.25">
      <c r="B52" s="91"/>
    </row>
    <row r="53" spans="1:18" s="89" customFormat="1" x14ac:dyDescent="0.25">
      <c r="B53" s="91" t="s">
        <v>53</v>
      </c>
    </row>
    <row r="54" spans="1:18" s="89" customFormat="1" x14ac:dyDescent="0.25">
      <c r="B54" s="91" t="s">
        <v>78</v>
      </c>
    </row>
    <row r="55" spans="1:18" s="89" customFormat="1" x14ac:dyDescent="0.25">
      <c r="B55" s="91"/>
    </row>
    <row r="56" spans="1:18" s="89" customFormat="1" x14ac:dyDescent="0.25">
      <c r="A56" s="89" t="s">
        <v>79</v>
      </c>
      <c r="B56" s="257">
        <v>2785.08</v>
      </c>
      <c r="C56" s="258">
        <v>2821.65</v>
      </c>
      <c r="D56" s="257">
        <v>2967.11</v>
      </c>
      <c r="E56" s="258"/>
      <c r="F56" s="257">
        <v>3197.92</v>
      </c>
      <c r="G56" s="257">
        <v>3296.77</v>
      </c>
      <c r="H56" s="257">
        <v>3396.98</v>
      </c>
      <c r="I56" s="258">
        <v>3527.59</v>
      </c>
      <c r="J56" s="257">
        <v>3592.46</v>
      </c>
      <c r="K56" s="258">
        <v>3919.01</v>
      </c>
      <c r="L56" s="257">
        <v>3837.72</v>
      </c>
      <c r="M56" s="257">
        <v>4321.4799999999996</v>
      </c>
      <c r="N56" s="258">
        <v>4702.45</v>
      </c>
      <c r="O56" s="257">
        <v>4948.9399999999996</v>
      </c>
      <c r="P56" s="258">
        <v>5166.63</v>
      </c>
      <c r="Q56" s="257">
        <v>5777.33</v>
      </c>
      <c r="R56" s="259">
        <v>5777.33</v>
      </c>
    </row>
    <row r="58" spans="1:18" x14ac:dyDescent="0.25">
      <c r="B58" s="256"/>
      <c r="C58" s="256"/>
      <c r="D58" s="256"/>
      <c r="F58" s="256"/>
      <c r="G58" s="256"/>
    </row>
    <row r="59" spans="1:18" x14ac:dyDescent="0.25">
      <c r="B59" s="34"/>
      <c r="C59" s="34"/>
    </row>
    <row r="60" spans="1:18" x14ac:dyDescent="0.25">
      <c r="C60" s="1"/>
      <c r="D60" s="1"/>
      <c r="F60" s="1"/>
      <c r="G60" s="1"/>
    </row>
    <row r="61" spans="1:18" x14ac:dyDescent="0.25">
      <c r="B61" s="34"/>
      <c r="C61" s="34"/>
      <c r="D61" s="34"/>
      <c r="E61" s="1"/>
      <c r="F61" s="34"/>
      <c r="G61" s="34"/>
      <c r="H61" s="1"/>
      <c r="I61" s="1"/>
      <c r="J61" s="1"/>
      <c r="K61" s="1"/>
      <c r="L61" s="1"/>
      <c r="M61" s="1"/>
      <c r="N61" s="1"/>
      <c r="O61" s="1"/>
      <c r="P61" s="1"/>
      <c r="Q61" s="1"/>
      <c r="R61" s="1"/>
    </row>
    <row r="62" spans="1:18" x14ac:dyDescent="0.25">
      <c r="B62" s="34"/>
      <c r="C62" s="34"/>
    </row>
    <row r="64" spans="1:18" x14ac:dyDescent="0.25">
      <c r="B64" s="271"/>
      <c r="C64" s="271"/>
      <c r="D64" s="271"/>
      <c r="E64" s="271"/>
      <c r="F64" s="271"/>
      <c r="G64" s="271"/>
      <c r="H64" s="271"/>
      <c r="I64" s="271"/>
      <c r="J64" s="271"/>
      <c r="K64" s="271"/>
      <c r="L64" s="271"/>
      <c r="M64" s="271"/>
      <c r="N64" s="271"/>
      <c r="O64" s="271"/>
      <c r="P64" s="271"/>
      <c r="Q64" s="271"/>
      <c r="R64" s="271"/>
    </row>
    <row r="65" spans="2:18" x14ac:dyDescent="0.25">
      <c r="C65" s="1"/>
      <c r="D65" s="1"/>
      <c r="E65" s="1"/>
      <c r="F65" s="1"/>
      <c r="G65" s="1"/>
      <c r="H65" s="1"/>
      <c r="I65" s="1"/>
      <c r="J65" s="1"/>
      <c r="K65" s="1"/>
      <c r="L65" s="1"/>
      <c r="M65" s="1"/>
      <c r="N65" s="1"/>
      <c r="O65" s="1"/>
      <c r="P65" s="1"/>
      <c r="Q65" s="1"/>
      <c r="R65" s="1"/>
    </row>
    <row r="66" spans="2:18" x14ac:dyDescent="0.25">
      <c r="C66" s="1"/>
      <c r="D66" s="1"/>
      <c r="E66" s="1"/>
      <c r="F66" s="1"/>
      <c r="G66" s="1"/>
      <c r="H66" s="1"/>
      <c r="I66" s="1"/>
      <c r="J66" s="1"/>
      <c r="K66" s="1"/>
      <c r="L66" s="1"/>
      <c r="M66" s="1"/>
      <c r="N66" s="1"/>
      <c r="O66" s="1"/>
      <c r="P66" s="1"/>
      <c r="Q66" s="1"/>
      <c r="R66" s="1"/>
    </row>
    <row r="67" spans="2:18" x14ac:dyDescent="0.25">
      <c r="B67" s="34"/>
      <c r="C67" s="34"/>
      <c r="D67" s="34"/>
      <c r="E67" s="34"/>
      <c r="F67" s="34"/>
      <c r="G67" s="34"/>
      <c r="H67" s="34"/>
      <c r="I67" s="34"/>
      <c r="J67" s="34"/>
      <c r="K67" s="34"/>
      <c r="L67" s="34"/>
      <c r="M67" s="34"/>
      <c r="N67" s="34"/>
      <c r="O67" s="34"/>
      <c r="P67" s="34"/>
      <c r="Q67" s="34"/>
      <c r="R67" s="34"/>
    </row>
  </sheetData>
  <conditionalFormatting sqref="B2">
    <cfRule type="expression" dxfId="0" priority="1">
      <formula>B1="Generale"</formula>
    </cfRule>
  </conditionalFormatting>
  <dataValidations count="2">
    <dataValidation type="list" allowBlank="1" showInputMessage="1" showErrorMessage="1" sqref="B1" xr:uid="{00000000-0002-0000-0700-000000000000}">
      <formula1>$B$45:$B$46</formula1>
    </dataValidation>
    <dataValidation type="list" allowBlank="1" showInputMessage="1" showErrorMessage="1" sqref="B5" xr:uid="{00000000-0002-0000-0700-000001000000}">
      <formula1>$B$53:$B$54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6"/>
  <dimension ref="A1:M29"/>
  <sheetViews>
    <sheetView workbookViewId="0">
      <selection activeCell="S14" sqref="S14"/>
    </sheetView>
  </sheetViews>
  <sheetFormatPr defaultRowHeight="15" x14ac:dyDescent="0.25"/>
  <cols>
    <col min="1" max="1" width="16.140625" bestFit="1" customWidth="1"/>
    <col min="4" max="4" width="9.5703125" bestFit="1" customWidth="1"/>
    <col min="5" max="5" width="11.140625" bestFit="1" customWidth="1"/>
    <col min="8" max="8" width="11.42578125" bestFit="1" customWidth="1"/>
    <col min="11" max="11" width="10.140625" bestFit="1" customWidth="1"/>
  </cols>
  <sheetData>
    <row r="1" spans="1:13" x14ac:dyDescent="0.25">
      <c r="E1" s="356" t="s">
        <v>80</v>
      </c>
      <c r="F1" s="356"/>
      <c r="G1" s="356"/>
      <c r="H1" s="87">
        <v>0</v>
      </c>
    </row>
    <row r="2" spans="1:13" x14ac:dyDescent="0.25">
      <c r="E2" s="356" t="s">
        <v>81</v>
      </c>
      <c r="F2" s="356"/>
      <c r="G2" s="356"/>
      <c r="H2" s="88">
        <v>26</v>
      </c>
    </row>
    <row r="3" spans="1:13" ht="15.75" thickBot="1" x14ac:dyDescent="0.3"/>
    <row r="4" spans="1:13" ht="15.75" thickBot="1" x14ac:dyDescent="0.3">
      <c r="A4" s="35" t="s">
        <v>82</v>
      </c>
      <c r="J4" s="357" t="s">
        <v>83</v>
      </c>
      <c r="K4" s="358"/>
      <c r="L4" s="358"/>
      <c r="M4" s="359"/>
    </row>
    <row r="5" spans="1:13" ht="60" x14ac:dyDescent="0.25">
      <c r="A5" s="36"/>
      <c r="B5" s="37" t="s">
        <v>84</v>
      </c>
      <c r="C5" s="38" t="s">
        <v>85</v>
      </c>
      <c r="D5" s="39" t="s">
        <v>86</v>
      </c>
      <c r="E5" s="39" t="s">
        <v>87</v>
      </c>
      <c r="F5" s="39" t="s">
        <v>88</v>
      </c>
      <c r="G5" s="39" t="s">
        <v>62</v>
      </c>
      <c r="H5" s="40" t="s">
        <v>89</v>
      </c>
      <c r="I5" s="41" t="s">
        <v>90</v>
      </c>
      <c r="J5" s="42" t="s">
        <v>91</v>
      </c>
      <c r="K5" s="43" t="s">
        <v>92</v>
      </c>
      <c r="L5" s="44" t="s">
        <v>93</v>
      </c>
      <c r="M5" s="45" t="s">
        <v>94</v>
      </c>
    </row>
    <row r="6" spans="1:13" x14ac:dyDescent="0.25">
      <c r="A6" s="46" t="s">
        <v>95</v>
      </c>
      <c r="B6" s="82">
        <v>28342.720000000001</v>
      </c>
      <c r="C6" s="47">
        <f t="shared" ref="C6:D28" si="0">+ROUND(B6/12,2)</f>
        <v>2361.89</v>
      </c>
      <c r="D6" s="47">
        <f t="shared" si="0"/>
        <v>196.82</v>
      </c>
      <c r="E6" s="47">
        <f>+D6</f>
        <v>196.82</v>
      </c>
      <c r="F6" s="48">
        <f>+E6+D6+C6</f>
        <v>2755.5299999999997</v>
      </c>
      <c r="G6" s="48">
        <f>+ROUND(F6*35.3/100,2)</f>
        <v>972.7</v>
      </c>
      <c r="H6" s="49">
        <f>+$H$2*$H$1</f>
        <v>0</v>
      </c>
      <c r="I6" s="50">
        <f>+G6+F6+H6</f>
        <v>3728.2299999999996</v>
      </c>
      <c r="J6" s="51">
        <f>+ROUND(I6/156,2)</f>
        <v>23.9</v>
      </c>
      <c r="K6" s="52">
        <f>ROUND((C6*1.353)/156*1.15,2)</f>
        <v>23.56</v>
      </c>
      <c r="L6" s="48">
        <f>ROUND((C6*1.353)/156*1.3,2)</f>
        <v>26.63</v>
      </c>
      <c r="M6" s="50">
        <f>ROUND((C6*1.353)/156*1.5,2)</f>
        <v>30.73</v>
      </c>
    </row>
    <row r="7" spans="1:13" x14ac:dyDescent="0.25">
      <c r="A7" s="46" t="s">
        <v>96</v>
      </c>
      <c r="B7" s="82">
        <v>26510.86</v>
      </c>
      <c r="C7" s="47">
        <f t="shared" si="0"/>
        <v>2209.2399999999998</v>
      </c>
      <c r="D7" s="47">
        <f t="shared" si="0"/>
        <v>184.1</v>
      </c>
      <c r="E7" s="47">
        <f t="shared" ref="E7:E28" si="1">+D7</f>
        <v>184.1</v>
      </c>
      <c r="F7" s="48">
        <f t="shared" ref="F7:F28" si="2">+E7+D7+C7</f>
        <v>2577.4399999999996</v>
      </c>
      <c r="G7" s="48">
        <f t="shared" ref="G7:G28" si="3">+ROUND(F7*35.3/100,2)</f>
        <v>909.84</v>
      </c>
      <c r="H7" s="49">
        <f t="shared" ref="H7:H28" si="4">+$H$2*$H$1</f>
        <v>0</v>
      </c>
      <c r="I7" s="50">
        <f t="shared" ref="I7:I28" si="5">+G7+F7+H7</f>
        <v>3487.2799999999997</v>
      </c>
      <c r="J7" s="51">
        <f t="shared" ref="J7:J28" si="6">+ROUND(I7/156,2)</f>
        <v>22.35</v>
      </c>
      <c r="K7" s="52">
        <f t="shared" ref="K7:K28" si="7">ROUND((C7*1.353)/156*1.15,2)</f>
        <v>22.04</v>
      </c>
      <c r="L7" s="48">
        <f t="shared" ref="L7:L28" si="8">ROUND((C7*1.353)/156*1.3,2)</f>
        <v>24.91</v>
      </c>
      <c r="M7" s="50">
        <f t="shared" ref="M7:M28" si="9">ROUND((C7*1.353)/156*1.5,2)</f>
        <v>28.74</v>
      </c>
    </row>
    <row r="8" spans="1:13" ht="15.75" thickBot="1" x14ac:dyDescent="0.3">
      <c r="A8" s="53" t="s">
        <v>97</v>
      </c>
      <c r="B8" s="83">
        <v>25377.759999999998</v>
      </c>
      <c r="C8" s="54">
        <f t="shared" si="0"/>
        <v>2114.81</v>
      </c>
      <c r="D8" s="54">
        <f t="shared" si="0"/>
        <v>176.23</v>
      </c>
      <c r="E8" s="54">
        <f t="shared" si="1"/>
        <v>176.23</v>
      </c>
      <c r="F8" s="55">
        <f t="shared" si="2"/>
        <v>2467.27</v>
      </c>
      <c r="G8" s="55">
        <f t="shared" si="3"/>
        <v>870.95</v>
      </c>
      <c r="H8" s="56">
        <f t="shared" si="4"/>
        <v>0</v>
      </c>
      <c r="I8" s="57">
        <f t="shared" si="5"/>
        <v>3338.2200000000003</v>
      </c>
      <c r="J8" s="58">
        <f t="shared" si="6"/>
        <v>21.4</v>
      </c>
      <c r="K8" s="59">
        <f t="shared" si="7"/>
        <v>21.09</v>
      </c>
      <c r="L8" s="55">
        <f t="shared" si="8"/>
        <v>23.84</v>
      </c>
      <c r="M8" s="57">
        <f t="shared" si="9"/>
        <v>27.51</v>
      </c>
    </row>
    <row r="9" spans="1:13" ht="15.75" thickBot="1" x14ac:dyDescent="0.3">
      <c r="A9" s="60" t="s">
        <v>98</v>
      </c>
      <c r="B9" s="84">
        <v>24338.14</v>
      </c>
      <c r="C9" s="61">
        <f t="shared" si="0"/>
        <v>2028.18</v>
      </c>
      <c r="D9" s="61">
        <f t="shared" si="0"/>
        <v>169.02</v>
      </c>
      <c r="E9" s="61">
        <f t="shared" si="1"/>
        <v>169.02</v>
      </c>
      <c r="F9" s="62">
        <f t="shared" si="2"/>
        <v>2366.2200000000003</v>
      </c>
      <c r="G9" s="62">
        <f t="shared" si="3"/>
        <v>835.28</v>
      </c>
      <c r="H9" s="63">
        <f t="shared" si="4"/>
        <v>0</v>
      </c>
      <c r="I9" s="64">
        <f t="shared" si="5"/>
        <v>3201.5</v>
      </c>
      <c r="J9" s="65">
        <f t="shared" si="6"/>
        <v>20.52</v>
      </c>
      <c r="K9" s="66">
        <f t="shared" si="7"/>
        <v>20.23</v>
      </c>
      <c r="L9" s="62">
        <f t="shared" si="8"/>
        <v>22.87</v>
      </c>
      <c r="M9" s="64">
        <f t="shared" si="9"/>
        <v>26.39</v>
      </c>
    </row>
    <row r="10" spans="1:13" ht="15.75" thickBot="1" x14ac:dyDescent="0.3">
      <c r="A10" s="67" t="s">
        <v>99</v>
      </c>
      <c r="B10" s="85">
        <v>22203.89</v>
      </c>
      <c r="C10" s="68">
        <f t="shared" si="0"/>
        <v>1850.32</v>
      </c>
      <c r="D10" s="68">
        <f t="shared" si="0"/>
        <v>154.19</v>
      </c>
      <c r="E10" s="68">
        <f t="shared" si="1"/>
        <v>154.19</v>
      </c>
      <c r="F10" s="69">
        <f t="shared" si="2"/>
        <v>2158.6999999999998</v>
      </c>
      <c r="G10" s="69">
        <f t="shared" si="3"/>
        <v>762.02</v>
      </c>
      <c r="H10" s="70">
        <f t="shared" si="4"/>
        <v>0</v>
      </c>
      <c r="I10" s="71">
        <f t="shared" si="5"/>
        <v>2920.72</v>
      </c>
      <c r="J10" s="72">
        <f t="shared" si="6"/>
        <v>18.72</v>
      </c>
      <c r="K10" s="73">
        <f t="shared" si="7"/>
        <v>18.46</v>
      </c>
      <c r="L10" s="69">
        <f t="shared" si="8"/>
        <v>20.86</v>
      </c>
      <c r="M10" s="71">
        <f t="shared" si="9"/>
        <v>24.07</v>
      </c>
    </row>
    <row r="11" spans="1:13" ht="15.75" thickBot="1" x14ac:dyDescent="0.3">
      <c r="A11" s="60" t="s">
        <v>100</v>
      </c>
      <c r="B11" s="84">
        <v>21166.71</v>
      </c>
      <c r="C11" s="61">
        <f t="shared" si="0"/>
        <v>1763.89</v>
      </c>
      <c r="D11" s="61">
        <f t="shared" si="0"/>
        <v>146.99</v>
      </c>
      <c r="E11" s="61">
        <f t="shared" si="1"/>
        <v>146.99</v>
      </c>
      <c r="F11" s="62">
        <f t="shared" si="2"/>
        <v>2057.87</v>
      </c>
      <c r="G11" s="62">
        <f t="shared" si="3"/>
        <v>726.43</v>
      </c>
      <c r="H11" s="63">
        <f t="shared" si="4"/>
        <v>0</v>
      </c>
      <c r="I11" s="64">
        <f t="shared" si="5"/>
        <v>2784.2999999999997</v>
      </c>
      <c r="J11" s="65">
        <f t="shared" si="6"/>
        <v>17.850000000000001</v>
      </c>
      <c r="K11" s="66">
        <f t="shared" si="7"/>
        <v>17.59</v>
      </c>
      <c r="L11" s="62">
        <f t="shared" si="8"/>
        <v>19.89</v>
      </c>
      <c r="M11" s="64">
        <f t="shared" si="9"/>
        <v>22.95</v>
      </c>
    </row>
    <row r="12" spans="1:13" x14ac:dyDescent="0.25">
      <c r="A12" s="74" t="s">
        <v>101</v>
      </c>
      <c r="B12" s="86">
        <v>21901.32</v>
      </c>
      <c r="C12" s="75">
        <f t="shared" si="0"/>
        <v>1825.11</v>
      </c>
      <c r="D12" s="75">
        <f t="shared" si="0"/>
        <v>152.09</v>
      </c>
      <c r="E12" s="75">
        <f t="shared" si="1"/>
        <v>152.09</v>
      </c>
      <c r="F12" s="76">
        <f t="shared" si="2"/>
        <v>2129.29</v>
      </c>
      <c r="G12" s="76">
        <f t="shared" si="3"/>
        <v>751.64</v>
      </c>
      <c r="H12" s="77">
        <f t="shared" si="4"/>
        <v>0</v>
      </c>
      <c r="I12" s="78">
        <f t="shared" si="5"/>
        <v>2880.93</v>
      </c>
      <c r="J12" s="79">
        <f t="shared" si="6"/>
        <v>18.47</v>
      </c>
      <c r="K12" s="80">
        <f t="shared" si="7"/>
        <v>18.2</v>
      </c>
      <c r="L12" s="76">
        <f t="shared" si="8"/>
        <v>20.58</v>
      </c>
      <c r="M12" s="78">
        <f t="shared" si="9"/>
        <v>23.74</v>
      </c>
    </row>
    <row r="13" spans="1:13" x14ac:dyDescent="0.25">
      <c r="A13" s="46" t="s">
        <v>102</v>
      </c>
      <c r="B13" s="82">
        <v>21120.11</v>
      </c>
      <c r="C13" s="47">
        <f t="shared" si="0"/>
        <v>1760.01</v>
      </c>
      <c r="D13" s="47">
        <f t="shared" si="0"/>
        <v>146.66999999999999</v>
      </c>
      <c r="E13" s="47">
        <f t="shared" si="1"/>
        <v>146.66999999999999</v>
      </c>
      <c r="F13" s="48">
        <f t="shared" si="2"/>
        <v>2053.35</v>
      </c>
      <c r="G13" s="48">
        <f t="shared" si="3"/>
        <v>724.83</v>
      </c>
      <c r="H13" s="49">
        <f t="shared" si="4"/>
        <v>0</v>
      </c>
      <c r="I13" s="50">
        <f t="shared" si="5"/>
        <v>2778.18</v>
      </c>
      <c r="J13" s="51">
        <f t="shared" si="6"/>
        <v>17.809999999999999</v>
      </c>
      <c r="K13" s="52">
        <f t="shared" si="7"/>
        <v>17.55</v>
      </c>
      <c r="L13" s="48">
        <f t="shared" si="8"/>
        <v>19.84</v>
      </c>
      <c r="M13" s="50">
        <f t="shared" si="9"/>
        <v>22.9</v>
      </c>
    </row>
    <row r="14" spans="1:13" x14ac:dyDescent="0.25">
      <c r="A14" s="46" t="s">
        <v>103</v>
      </c>
      <c r="B14" s="82">
        <v>20472.62</v>
      </c>
      <c r="C14" s="47">
        <f t="shared" si="0"/>
        <v>1706.05</v>
      </c>
      <c r="D14" s="47">
        <f t="shared" si="0"/>
        <v>142.16999999999999</v>
      </c>
      <c r="E14" s="47">
        <f t="shared" si="1"/>
        <v>142.16999999999999</v>
      </c>
      <c r="F14" s="48">
        <f t="shared" si="2"/>
        <v>1990.3899999999999</v>
      </c>
      <c r="G14" s="48">
        <f t="shared" si="3"/>
        <v>702.61</v>
      </c>
      <c r="H14" s="49">
        <f t="shared" si="4"/>
        <v>0</v>
      </c>
      <c r="I14" s="50">
        <f t="shared" si="5"/>
        <v>2693</v>
      </c>
      <c r="J14" s="51">
        <f t="shared" si="6"/>
        <v>17.260000000000002</v>
      </c>
      <c r="K14" s="52">
        <f t="shared" si="7"/>
        <v>17.02</v>
      </c>
      <c r="L14" s="48">
        <f t="shared" si="8"/>
        <v>19.239999999999998</v>
      </c>
      <c r="M14" s="50">
        <f t="shared" si="9"/>
        <v>22.2</v>
      </c>
    </row>
    <row r="15" spans="1:13" ht="15.75" thickBot="1" x14ac:dyDescent="0.3">
      <c r="A15" s="53" t="s">
        <v>104</v>
      </c>
      <c r="B15" s="83">
        <v>19917.86</v>
      </c>
      <c r="C15" s="54">
        <f t="shared" si="0"/>
        <v>1659.82</v>
      </c>
      <c r="D15" s="54">
        <f t="shared" si="0"/>
        <v>138.32</v>
      </c>
      <c r="E15" s="54">
        <f t="shared" si="1"/>
        <v>138.32</v>
      </c>
      <c r="F15" s="55">
        <f t="shared" si="2"/>
        <v>1936.46</v>
      </c>
      <c r="G15" s="55">
        <f t="shared" si="3"/>
        <v>683.57</v>
      </c>
      <c r="H15" s="56">
        <f t="shared" si="4"/>
        <v>0</v>
      </c>
      <c r="I15" s="57">
        <f t="shared" si="5"/>
        <v>2620.0300000000002</v>
      </c>
      <c r="J15" s="58">
        <f t="shared" si="6"/>
        <v>16.8</v>
      </c>
      <c r="K15" s="59">
        <f t="shared" si="7"/>
        <v>16.559999999999999</v>
      </c>
      <c r="L15" s="55">
        <f t="shared" si="8"/>
        <v>18.71</v>
      </c>
      <c r="M15" s="57">
        <f t="shared" si="9"/>
        <v>21.59</v>
      </c>
    </row>
    <row r="16" spans="1:13" ht="15.75" thickBot="1" x14ac:dyDescent="0.3">
      <c r="A16" s="60" t="s">
        <v>105</v>
      </c>
      <c r="B16" s="84">
        <v>19454.150000000001</v>
      </c>
      <c r="C16" s="61">
        <f t="shared" si="0"/>
        <v>1621.18</v>
      </c>
      <c r="D16" s="61">
        <f t="shared" si="0"/>
        <v>135.1</v>
      </c>
      <c r="E16" s="61">
        <f t="shared" si="1"/>
        <v>135.1</v>
      </c>
      <c r="F16" s="62">
        <f t="shared" si="2"/>
        <v>1891.38</v>
      </c>
      <c r="G16" s="62">
        <f t="shared" si="3"/>
        <v>667.66</v>
      </c>
      <c r="H16" s="63">
        <f t="shared" si="4"/>
        <v>0</v>
      </c>
      <c r="I16" s="64">
        <f t="shared" si="5"/>
        <v>2559.04</v>
      </c>
      <c r="J16" s="65">
        <f t="shared" si="6"/>
        <v>16.399999999999999</v>
      </c>
      <c r="K16" s="66">
        <f t="shared" si="7"/>
        <v>16.170000000000002</v>
      </c>
      <c r="L16" s="62">
        <f t="shared" si="8"/>
        <v>18.28</v>
      </c>
      <c r="M16" s="64">
        <f t="shared" si="9"/>
        <v>21.09</v>
      </c>
    </row>
    <row r="17" spans="1:13" x14ac:dyDescent="0.25">
      <c r="A17" s="74" t="s">
        <v>106</v>
      </c>
      <c r="B17" s="86">
        <v>19878.400000000001</v>
      </c>
      <c r="C17" s="75">
        <f t="shared" si="0"/>
        <v>1656.53</v>
      </c>
      <c r="D17" s="75">
        <f t="shared" si="0"/>
        <v>138.04</v>
      </c>
      <c r="E17" s="75">
        <f t="shared" si="1"/>
        <v>138.04</v>
      </c>
      <c r="F17" s="76">
        <f t="shared" si="2"/>
        <v>1932.61</v>
      </c>
      <c r="G17" s="76">
        <f t="shared" si="3"/>
        <v>682.21</v>
      </c>
      <c r="H17" s="77">
        <f t="shared" si="4"/>
        <v>0</v>
      </c>
      <c r="I17" s="78">
        <f t="shared" si="5"/>
        <v>2614.8199999999997</v>
      </c>
      <c r="J17" s="79">
        <f t="shared" si="6"/>
        <v>16.760000000000002</v>
      </c>
      <c r="K17" s="80">
        <f t="shared" si="7"/>
        <v>16.52</v>
      </c>
      <c r="L17" s="76">
        <f t="shared" si="8"/>
        <v>18.68</v>
      </c>
      <c r="M17" s="78">
        <f t="shared" si="9"/>
        <v>21.55</v>
      </c>
    </row>
    <row r="18" spans="1:13" x14ac:dyDescent="0.25">
      <c r="A18" s="46" t="s">
        <v>107</v>
      </c>
      <c r="B18" s="82">
        <v>19143.580000000002</v>
      </c>
      <c r="C18" s="47">
        <f t="shared" si="0"/>
        <v>1595.3</v>
      </c>
      <c r="D18" s="47">
        <f t="shared" si="0"/>
        <v>132.94</v>
      </c>
      <c r="E18" s="47">
        <f t="shared" si="1"/>
        <v>132.94</v>
      </c>
      <c r="F18" s="48">
        <f t="shared" si="2"/>
        <v>1861.1799999999998</v>
      </c>
      <c r="G18" s="48">
        <f t="shared" si="3"/>
        <v>657</v>
      </c>
      <c r="H18" s="49">
        <f t="shared" si="4"/>
        <v>0</v>
      </c>
      <c r="I18" s="50">
        <f t="shared" si="5"/>
        <v>2518.1799999999998</v>
      </c>
      <c r="J18" s="51">
        <f t="shared" si="6"/>
        <v>16.14</v>
      </c>
      <c r="K18" s="52">
        <f t="shared" si="7"/>
        <v>15.91</v>
      </c>
      <c r="L18" s="48">
        <f t="shared" si="8"/>
        <v>17.989999999999998</v>
      </c>
      <c r="M18" s="50">
        <f t="shared" si="9"/>
        <v>20.75</v>
      </c>
    </row>
    <row r="19" spans="1:13" x14ac:dyDescent="0.25">
      <c r="A19" s="46" t="s">
        <v>108</v>
      </c>
      <c r="B19" s="82">
        <v>18808.79</v>
      </c>
      <c r="C19" s="47">
        <f t="shared" si="0"/>
        <v>1567.4</v>
      </c>
      <c r="D19" s="47">
        <f t="shared" si="0"/>
        <v>130.62</v>
      </c>
      <c r="E19" s="47">
        <f t="shared" si="1"/>
        <v>130.62</v>
      </c>
      <c r="F19" s="48">
        <f t="shared" si="2"/>
        <v>1828.64</v>
      </c>
      <c r="G19" s="48">
        <f t="shared" si="3"/>
        <v>645.51</v>
      </c>
      <c r="H19" s="49">
        <f t="shared" si="4"/>
        <v>0</v>
      </c>
      <c r="I19" s="50">
        <f t="shared" si="5"/>
        <v>2474.15</v>
      </c>
      <c r="J19" s="51">
        <f t="shared" si="6"/>
        <v>15.86</v>
      </c>
      <c r="K19" s="52">
        <f t="shared" si="7"/>
        <v>15.63</v>
      </c>
      <c r="L19" s="48">
        <f t="shared" si="8"/>
        <v>17.670000000000002</v>
      </c>
      <c r="M19" s="50">
        <f t="shared" si="9"/>
        <v>20.39</v>
      </c>
    </row>
    <row r="20" spans="1:13" ht="15.75" thickBot="1" x14ac:dyDescent="0.3">
      <c r="A20" s="46" t="s">
        <v>109</v>
      </c>
      <c r="B20" s="82">
        <v>18496.61</v>
      </c>
      <c r="C20" s="47">
        <f t="shared" si="0"/>
        <v>1541.38</v>
      </c>
      <c r="D20" s="47">
        <f t="shared" si="0"/>
        <v>128.44999999999999</v>
      </c>
      <c r="E20" s="47">
        <f t="shared" si="1"/>
        <v>128.44999999999999</v>
      </c>
      <c r="F20" s="48">
        <f t="shared" si="2"/>
        <v>1798.2800000000002</v>
      </c>
      <c r="G20" s="48">
        <f t="shared" si="3"/>
        <v>634.79</v>
      </c>
      <c r="H20" s="49">
        <f t="shared" si="4"/>
        <v>0</v>
      </c>
      <c r="I20" s="50">
        <f t="shared" si="5"/>
        <v>2433.0700000000002</v>
      </c>
      <c r="J20" s="51">
        <f t="shared" si="6"/>
        <v>15.6</v>
      </c>
      <c r="K20" s="52">
        <f t="shared" si="7"/>
        <v>15.37</v>
      </c>
      <c r="L20" s="48">
        <f t="shared" si="8"/>
        <v>17.38</v>
      </c>
      <c r="M20" s="50">
        <f t="shared" si="9"/>
        <v>20.05</v>
      </c>
    </row>
    <row r="21" spans="1:13" s="35" customFormat="1" ht="15.75" thickBot="1" x14ac:dyDescent="0.3">
      <c r="A21" s="60" t="s">
        <v>110</v>
      </c>
      <c r="B21" s="84">
        <v>18229.919999999998</v>
      </c>
      <c r="C21" s="61">
        <f t="shared" si="0"/>
        <v>1519.16</v>
      </c>
      <c r="D21" s="61">
        <f t="shared" si="0"/>
        <v>126.6</v>
      </c>
      <c r="E21" s="61">
        <f t="shared" si="1"/>
        <v>126.6</v>
      </c>
      <c r="F21" s="62">
        <f t="shared" si="2"/>
        <v>1772.3600000000001</v>
      </c>
      <c r="G21" s="62">
        <f t="shared" si="3"/>
        <v>625.64</v>
      </c>
      <c r="H21" s="63">
        <f t="shared" si="4"/>
        <v>0</v>
      </c>
      <c r="I21" s="64">
        <f t="shared" si="5"/>
        <v>2398</v>
      </c>
      <c r="J21" s="65">
        <f t="shared" si="6"/>
        <v>15.37</v>
      </c>
      <c r="K21" s="66">
        <f t="shared" si="7"/>
        <v>15.15</v>
      </c>
      <c r="L21" s="62">
        <f t="shared" si="8"/>
        <v>17.13</v>
      </c>
      <c r="M21" s="64">
        <f t="shared" si="9"/>
        <v>19.760000000000002</v>
      </c>
    </row>
    <row r="22" spans="1:13" ht="15.75" thickBot="1" x14ac:dyDescent="0.3">
      <c r="A22" s="53" t="s">
        <v>111</v>
      </c>
      <c r="B22" s="83">
        <v>17531.61</v>
      </c>
      <c r="C22" s="54">
        <f t="shared" si="0"/>
        <v>1460.97</v>
      </c>
      <c r="D22" s="54">
        <f t="shared" si="0"/>
        <v>121.75</v>
      </c>
      <c r="E22" s="54">
        <f t="shared" si="1"/>
        <v>121.75</v>
      </c>
      <c r="F22" s="55">
        <f t="shared" si="2"/>
        <v>1704.47</v>
      </c>
      <c r="G22" s="55">
        <f t="shared" si="3"/>
        <v>601.67999999999995</v>
      </c>
      <c r="H22" s="56">
        <f t="shared" si="4"/>
        <v>0</v>
      </c>
      <c r="I22" s="57">
        <f t="shared" si="5"/>
        <v>2306.15</v>
      </c>
      <c r="J22" s="58">
        <f t="shared" si="6"/>
        <v>14.78</v>
      </c>
      <c r="K22" s="59">
        <f t="shared" si="7"/>
        <v>14.57</v>
      </c>
      <c r="L22" s="55">
        <f t="shared" si="8"/>
        <v>16.47</v>
      </c>
      <c r="M22" s="57">
        <f t="shared" si="9"/>
        <v>19.010000000000002</v>
      </c>
    </row>
    <row r="23" spans="1:13" ht="15.75" thickBot="1" x14ac:dyDescent="0.3">
      <c r="A23" s="60" t="s">
        <v>112</v>
      </c>
      <c r="B23" s="84">
        <v>17244.71</v>
      </c>
      <c r="C23" s="61">
        <f t="shared" si="0"/>
        <v>1437.06</v>
      </c>
      <c r="D23" s="61">
        <f t="shared" si="0"/>
        <v>119.76</v>
      </c>
      <c r="E23" s="61">
        <f t="shared" si="1"/>
        <v>119.76</v>
      </c>
      <c r="F23" s="62">
        <f t="shared" si="2"/>
        <v>1676.58</v>
      </c>
      <c r="G23" s="62">
        <f t="shared" si="3"/>
        <v>591.83000000000004</v>
      </c>
      <c r="H23" s="63">
        <f t="shared" si="4"/>
        <v>0</v>
      </c>
      <c r="I23" s="64">
        <f t="shared" si="5"/>
        <v>2268.41</v>
      </c>
      <c r="J23" s="65">
        <f t="shared" si="6"/>
        <v>14.54</v>
      </c>
      <c r="K23" s="66">
        <f t="shared" si="7"/>
        <v>14.33</v>
      </c>
      <c r="L23" s="62">
        <f t="shared" si="8"/>
        <v>16.2</v>
      </c>
      <c r="M23" s="64">
        <f t="shared" si="9"/>
        <v>18.7</v>
      </c>
    </row>
    <row r="24" spans="1:13" x14ac:dyDescent="0.25">
      <c r="A24" s="74" t="s">
        <v>113</v>
      </c>
      <c r="B24" s="86">
        <v>17539.650000000001</v>
      </c>
      <c r="C24" s="75">
        <f t="shared" si="0"/>
        <v>1461.64</v>
      </c>
      <c r="D24" s="75">
        <f t="shared" si="0"/>
        <v>121.8</v>
      </c>
      <c r="E24" s="75">
        <f t="shared" si="1"/>
        <v>121.8</v>
      </c>
      <c r="F24" s="76">
        <f t="shared" si="2"/>
        <v>1705.24</v>
      </c>
      <c r="G24" s="76">
        <f t="shared" si="3"/>
        <v>601.95000000000005</v>
      </c>
      <c r="H24" s="77">
        <f t="shared" si="4"/>
        <v>0</v>
      </c>
      <c r="I24" s="78">
        <f t="shared" si="5"/>
        <v>2307.19</v>
      </c>
      <c r="J24" s="79">
        <f t="shared" si="6"/>
        <v>14.79</v>
      </c>
      <c r="K24" s="80">
        <f t="shared" si="7"/>
        <v>14.58</v>
      </c>
      <c r="L24" s="76">
        <f t="shared" si="8"/>
        <v>16.48</v>
      </c>
      <c r="M24" s="78">
        <f t="shared" si="9"/>
        <v>19.02</v>
      </c>
    </row>
    <row r="25" spans="1:13" x14ac:dyDescent="0.25">
      <c r="A25" s="46" t="s">
        <v>114</v>
      </c>
      <c r="B25" s="82">
        <v>17184.060000000001</v>
      </c>
      <c r="C25" s="47">
        <f t="shared" si="0"/>
        <v>1432.01</v>
      </c>
      <c r="D25" s="47">
        <f t="shared" si="0"/>
        <v>119.33</v>
      </c>
      <c r="E25" s="47">
        <f t="shared" si="1"/>
        <v>119.33</v>
      </c>
      <c r="F25" s="48">
        <f t="shared" si="2"/>
        <v>1670.67</v>
      </c>
      <c r="G25" s="48">
        <f t="shared" si="3"/>
        <v>589.75</v>
      </c>
      <c r="H25" s="49">
        <f t="shared" si="4"/>
        <v>0</v>
      </c>
      <c r="I25" s="50">
        <f t="shared" si="5"/>
        <v>2260.42</v>
      </c>
      <c r="J25" s="51">
        <f t="shared" si="6"/>
        <v>14.49</v>
      </c>
      <c r="K25" s="52">
        <f t="shared" si="7"/>
        <v>14.28</v>
      </c>
      <c r="L25" s="48">
        <f t="shared" si="8"/>
        <v>16.149999999999999</v>
      </c>
      <c r="M25" s="50">
        <f t="shared" si="9"/>
        <v>18.63</v>
      </c>
    </row>
    <row r="26" spans="1:13" x14ac:dyDescent="0.25">
      <c r="A26" s="46" t="s">
        <v>115</v>
      </c>
      <c r="B26" s="82">
        <v>16884.36</v>
      </c>
      <c r="C26" s="47">
        <f t="shared" si="0"/>
        <v>1407.03</v>
      </c>
      <c r="D26" s="47">
        <f t="shared" si="0"/>
        <v>117.25</v>
      </c>
      <c r="E26" s="47">
        <f t="shared" si="1"/>
        <v>117.25</v>
      </c>
      <c r="F26" s="48">
        <f t="shared" si="2"/>
        <v>1641.53</v>
      </c>
      <c r="G26" s="48">
        <f t="shared" si="3"/>
        <v>579.46</v>
      </c>
      <c r="H26" s="49">
        <f t="shared" si="4"/>
        <v>0</v>
      </c>
      <c r="I26" s="50">
        <f t="shared" si="5"/>
        <v>2220.9899999999998</v>
      </c>
      <c r="J26" s="51">
        <f t="shared" si="6"/>
        <v>14.24</v>
      </c>
      <c r="K26" s="52">
        <f t="shared" si="7"/>
        <v>14.03</v>
      </c>
      <c r="L26" s="48">
        <f t="shared" si="8"/>
        <v>15.86</v>
      </c>
      <c r="M26" s="50">
        <f t="shared" si="9"/>
        <v>18.3</v>
      </c>
    </row>
    <row r="27" spans="1:13" ht="15.75" thickBot="1" x14ac:dyDescent="0.3">
      <c r="A27" s="53" t="s">
        <v>116</v>
      </c>
      <c r="B27" s="83">
        <v>16533.95</v>
      </c>
      <c r="C27" s="54">
        <f t="shared" si="0"/>
        <v>1377.83</v>
      </c>
      <c r="D27" s="54">
        <f t="shared" si="0"/>
        <v>114.82</v>
      </c>
      <c r="E27" s="54">
        <f t="shared" si="1"/>
        <v>114.82</v>
      </c>
      <c r="F27" s="55">
        <f t="shared" si="2"/>
        <v>1607.4699999999998</v>
      </c>
      <c r="G27" s="55">
        <f t="shared" si="3"/>
        <v>567.44000000000005</v>
      </c>
      <c r="H27" s="56">
        <f t="shared" si="4"/>
        <v>0</v>
      </c>
      <c r="I27" s="57">
        <f t="shared" si="5"/>
        <v>2174.91</v>
      </c>
      <c r="J27" s="58">
        <f t="shared" si="6"/>
        <v>13.94</v>
      </c>
      <c r="K27" s="59">
        <f t="shared" si="7"/>
        <v>13.74</v>
      </c>
      <c r="L27" s="55">
        <f t="shared" si="8"/>
        <v>15.54</v>
      </c>
      <c r="M27" s="57">
        <f t="shared" si="9"/>
        <v>17.93</v>
      </c>
    </row>
    <row r="28" spans="1:13" ht="15.75" thickBot="1" x14ac:dyDescent="0.3">
      <c r="A28" s="60" t="s">
        <v>117</v>
      </c>
      <c r="B28" s="84">
        <v>16314.57</v>
      </c>
      <c r="C28" s="61">
        <f t="shared" si="0"/>
        <v>1359.55</v>
      </c>
      <c r="D28" s="61">
        <f t="shared" si="0"/>
        <v>113.3</v>
      </c>
      <c r="E28" s="61">
        <f t="shared" si="1"/>
        <v>113.3</v>
      </c>
      <c r="F28" s="62">
        <f t="shared" si="2"/>
        <v>1586.1499999999999</v>
      </c>
      <c r="G28" s="62">
        <f t="shared" si="3"/>
        <v>559.91</v>
      </c>
      <c r="H28" s="63">
        <f t="shared" si="4"/>
        <v>0</v>
      </c>
      <c r="I28" s="64">
        <f t="shared" si="5"/>
        <v>2146.06</v>
      </c>
      <c r="J28" s="65">
        <f t="shared" si="6"/>
        <v>13.76</v>
      </c>
      <c r="K28" s="66">
        <f t="shared" si="7"/>
        <v>13.56</v>
      </c>
      <c r="L28" s="62">
        <f t="shared" si="8"/>
        <v>15.33</v>
      </c>
      <c r="M28" s="64">
        <f t="shared" si="9"/>
        <v>17.690000000000001</v>
      </c>
    </row>
    <row r="29" spans="1:13" ht="15.75" thickBot="1" x14ac:dyDescent="0.3">
      <c r="A29" s="81"/>
    </row>
  </sheetData>
  <mergeCells count="3">
    <mergeCell ref="E1:G1"/>
    <mergeCell ref="E2:G2"/>
    <mergeCell ref="J4:M4"/>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40"/>
  <sheetViews>
    <sheetView workbookViewId="0">
      <selection activeCell="S14" sqref="S14"/>
    </sheetView>
  </sheetViews>
  <sheetFormatPr defaultRowHeight="15" x14ac:dyDescent="0.25"/>
  <cols>
    <col min="1" max="1" width="16.140625" bestFit="1" customWidth="1"/>
    <col min="4" max="4" width="9.5703125" bestFit="1" customWidth="1"/>
    <col min="5" max="5" width="11.140625" bestFit="1" customWidth="1"/>
    <col min="8" max="8" width="11.42578125" bestFit="1" customWidth="1"/>
    <col min="11" max="11" width="10.140625" bestFit="1" customWidth="1"/>
  </cols>
  <sheetData>
    <row r="1" spans="1:22" x14ac:dyDescent="0.25">
      <c r="E1" s="356" t="s">
        <v>80</v>
      </c>
      <c r="F1" s="356"/>
      <c r="G1" s="356"/>
      <c r="H1" s="87">
        <v>0</v>
      </c>
    </row>
    <row r="2" spans="1:22" x14ac:dyDescent="0.25">
      <c r="E2" s="356" t="s">
        <v>81</v>
      </c>
      <c r="F2" s="356"/>
      <c r="G2" s="356"/>
      <c r="H2" s="88">
        <v>26</v>
      </c>
    </row>
    <row r="3" spans="1:22" ht="15.75" thickBot="1" x14ac:dyDescent="0.3"/>
    <row r="4" spans="1:22" ht="15.75" thickBot="1" x14ac:dyDescent="0.3">
      <c r="A4" s="35" t="s">
        <v>82</v>
      </c>
      <c r="J4" s="357" t="s">
        <v>313</v>
      </c>
      <c r="K4" s="358"/>
      <c r="L4" s="358"/>
      <c r="M4" s="359"/>
    </row>
    <row r="5" spans="1:22" ht="60" x14ac:dyDescent="0.25">
      <c r="A5" s="36"/>
      <c r="B5" s="37" t="s">
        <v>84</v>
      </c>
      <c r="C5" s="38" t="s">
        <v>85</v>
      </c>
      <c r="D5" s="39" t="s">
        <v>86</v>
      </c>
      <c r="E5" s="39" t="s">
        <v>87</v>
      </c>
      <c r="F5" s="39" t="s">
        <v>88</v>
      </c>
      <c r="G5" s="39" t="s">
        <v>62</v>
      </c>
      <c r="H5" s="40" t="s">
        <v>89</v>
      </c>
      <c r="I5" s="41" t="s">
        <v>90</v>
      </c>
      <c r="J5" s="42" t="s">
        <v>314</v>
      </c>
      <c r="K5" s="43" t="s">
        <v>92</v>
      </c>
      <c r="L5" s="44" t="s">
        <v>93</v>
      </c>
      <c r="M5" s="45" t="s">
        <v>94</v>
      </c>
      <c r="O5" s="205" t="s">
        <v>315</v>
      </c>
    </row>
    <row r="6" spans="1:22" x14ac:dyDescent="0.25">
      <c r="A6" s="46" t="s">
        <v>95</v>
      </c>
      <c r="B6" s="206">
        <f>+P6</f>
        <v>29638.84</v>
      </c>
      <c r="C6" s="207">
        <f t="shared" ref="C6:D28" si="0">+ROUND(B6/12,2)</f>
        <v>2469.9</v>
      </c>
      <c r="D6" s="207">
        <f t="shared" si="0"/>
        <v>205.83</v>
      </c>
      <c r="E6" s="207">
        <f>+D6</f>
        <v>205.83</v>
      </c>
      <c r="F6" s="48">
        <f>+E6+D6+C6</f>
        <v>2881.56</v>
      </c>
      <c r="G6" s="48">
        <f t="shared" ref="G6:G28" si="1">+ROUND(F6*$B$38,2)</f>
        <v>1028.1400000000001</v>
      </c>
      <c r="H6" s="49">
        <f>+$H$2*$H$1</f>
        <v>0</v>
      </c>
      <c r="I6" s="50">
        <f>+G6+F6+H6</f>
        <v>3909.7</v>
      </c>
      <c r="J6" s="51">
        <f>+ROUND(I6/156,2)</f>
        <v>25.06</v>
      </c>
      <c r="K6" s="52">
        <f t="shared" ref="K6:K28" si="2">ROUND(((C6+D6)*$C$38)/156*1.15,2)</f>
        <v>26.76</v>
      </c>
      <c r="L6" s="48">
        <f t="shared" ref="L6:L28" si="3">ROUND(((C6+D6)*$C$38)/156*1.3,2)</f>
        <v>30.25</v>
      </c>
      <c r="M6" s="50">
        <f t="shared" ref="M6:M28" si="4">ROUND(((C6+D6)*$C$38)/156*1.5,2)</f>
        <v>34.909999999999997</v>
      </c>
      <c r="O6" s="208" t="s">
        <v>28</v>
      </c>
      <c r="P6" s="209">
        <v>29638.84</v>
      </c>
      <c r="Q6" s="210"/>
      <c r="R6" s="208" t="s">
        <v>316</v>
      </c>
      <c r="S6" s="209">
        <v>31138.84</v>
      </c>
      <c r="V6" s="1"/>
    </row>
    <row r="7" spans="1:22" x14ac:dyDescent="0.25">
      <c r="A7" s="46" t="s">
        <v>96</v>
      </c>
      <c r="B7" s="206">
        <f t="shared" ref="B7:B28" si="5">+P7</f>
        <v>27723.7</v>
      </c>
      <c r="C7" s="207">
        <f t="shared" si="0"/>
        <v>2310.31</v>
      </c>
      <c r="D7" s="207">
        <f t="shared" si="0"/>
        <v>192.53</v>
      </c>
      <c r="E7" s="207">
        <f t="shared" ref="E7:E28" si="6">+D7</f>
        <v>192.53</v>
      </c>
      <c r="F7" s="48">
        <f t="shared" ref="F7:F28" si="7">+E7+D7+C7</f>
        <v>2695.37</v>
      </c>
      <c r="G7" s="48">
        <f t="shared" si="1"/>
        <v>961.71</v>
      </c>
      <c r="H7" s="49">
        <f t="shared" ref="H7:H28" si="8">+$H$2*$H$1</f>
        <v>0</v>
      </c>
      <c r="I7" s="50">
        <f t="shared" ref="I7:I28" si="9">+G7+F7+H7</f>
        <v>3657.08</v>
      </c>
      <c r="J7" s="51">
        <f t="shared" ref="J7:J28" si="10">+ROUND(I7/156,2)</f>
        <v>23.44</v>
      </c>
      <c r="K7" s="52">
        <f t="shared" si="2"/>
        <v>25.03</v>
      </c>
      <c r="L7" s="48">
        <f t="shared" si="3"/>
        <v>28.3</v>
      </c>
      <c r="M7" s="50">
        <f t="shared" si="4"/>
        <v>32.65</v>
      </c>
      <c r="O7" s="208" t="s">
        <v>29</v>
      </c>
      <c r="P7" s="209">
        <v>27723.7</v>
      </c>
      <c r="Q7" s="210"/>
      <c r="R7" s="208" t="s">
        <v>317</v>
      </c>
      <c r="S7" s="209">
        <v>23543.200000000001</v>
      </c>
    </row>
    <row r="8" spans="1:22" ht="15.75" thickBot="1" x14ac:dyDescent="0.3">
      <c r="A8" s="53" t="s">
        <v>97</v>
      </c>
      <c r="B8" s="211">
        <f t="shared" si="5"/>
        <v>26538.880000000001</v>
      </c>
      <c r="C8" s="212">
        <f t="shared" si="0"/>
        <v>2211.5700000000002</v>
      </c>
      <c r="D8" s="212">
        <f t="shared" si="0"/>
        <v>184.3</v>
      </c>
      <c r="E8" s="212">
        <f t="shared" si="6"/>
        <v>184.3</v>
      </c>
      <c r="F8" s="55">
        <f t="shared" si="7"/>
        <v>2580.17</v>
      </c>
      <c r="G8" s="55">
        <f t="shared" si="1"/>
        <v>920.6</v>
      </c>
      <c r="H8" s="56">
        <f t="shared" si="8"/>
        <v>0</v>
      </c>
      <c r="I8" s="57">
        <f t="shared" si="9"/>
        <v>3500.77</v>
      </c>
      <c r="J8" s="58">
        <f t="shared" si="10"/>
        <v>22.44</v>
      </c>
      <c r="K8" s="59">
        <f t="shared" si="2"/>
        <v>23.96</v>
      </c>
      <c r="L8" s="55">
        <f t="shared" si="3"/>
        <v>27.09</v>
      </c>
      <c r="M8" s="57">
        <f t="shared" si="4"/>
        <v>31.26</v>
      </c>
      <c r="O8" s="208" t="s">
        <v>30</v>
      </c>
      <c r="P8" s="209">
        <v>26538.880000000001</v>
      </c>
      <c r="Q8" s="210"/>
      <c r="R8" s="208" t="s">
        <v>318</v>
      </c>
      <c r="S8" s="209">
        <v>21248.240000000002</v>
      </c>
    </row>
    <row r="9" spans="1:22" ht="15.75" thickBot="1" x14ac:dyDescent="0.3">
      <c r="A9" s="60" t="s">
        <v>98</v>
      </c>
      <c r="B9" s="213">
        <f t="shared" si="5"/>
        <v>25451.86</v>
      </c>
      <c r="C9" s="214">
        <f t="shared" si="0"/>
        <v>2120.9899999999998</v>
      </c>
      <c r="D9" s="214">
        <f t="shared" si="0"/>
        <v>176.75</v>
      </c>
      <c r="E9" s="214">
        <f t="shared" si="6"/>
        <v>176.75</v>
      </c>
      <c r="F9" s="62">
        <f t="shared" si="7"/>
        <v>2474.4899999999998</v>
      </c>
      <c r="G9" s="62">
        <f t="shared" si="1"/>
        <v>882.9</v>
      </c>
      <c r="H9" s="63">
        <f t="shared" si="8"/>
        <v>0</v>
      </c>
      <c r="I9" s="64">
        <f t="shared" si="9"/>
        <v>3357.39</v>
      </c>
      <c r="J9" s="65">
        <f t="shared" si="10"/>
        <v>21.52</v>
      </c>
      <c r="K9" s="66">
        <f t="shared" si="2"/>
        <v>22.98</v>
      </c>
      <c r="L9" s="62">
        <f t="shared" si="3"/>
        <v>25.98</v>
      </c>
      <c r="M9" s="64">
        <f t="shared" si="4"/>
        <v>29.98</v>
      </c>
      <c r="O9" s="208" t="s">
        <v>31</v>
      </c>
      <c r="P9" s="209">
        <v>25451.86</v>
      </c>
      <c r="Q9" s="210"/>
      <c r="R9" s="208" t="s">
        <v>319</v>
      </c>
      <c r="S9" s="209">
        <v>18661.97</v>
      </c>
    </row>
    <row r="10" spans="1:22" ht="15.75" thickBot="1" x14ac:dyDescent="0.3">
      <c r="A10" s="67" t="s">
        <v>99</v>
      </c>
      <c r="B10" s="215">
        <f t="shared" si="5"/>
        <v>23220.05</v>
      </c>
      <c r="C10" s="216">
        <f t="shared" si="0"/>
        <v>1935</v>
      </c>
      <c r="D10" s="216">
        <f t="shared" si="0"/>
        <v>161.25</v>
      </c>
      <c r="E10" s="216">
        <f t="shared" si="6"/>
        <v>161.25</v>
      </c>
      <c r="F10" s="69">
        <f t="shared" si="7"/>
        <v>2257.5</v>
      </c>
      <c r="G10" s="69">
        <f t="shared" si="1"/>
        <v>805.48</v>
      </c>
      <c r="H10" s="70">
        <f t="shared" si="8"/>
        <v>0</v>
      </c>
      <c r="I10" s="71">
        <f t="shared" si="9"/>
        <v>3062.98</v>
      </c>
      <c r="J10" s="72">
        <f t="shared" si="10"/>
        <v>19.63</v>
      </c>
      <c r="K10" s="73">
        <f t="shared" si="2"/>
        <v>20.97</v>
      </c>
      <c r="L10" s="69">
        <f t="shared" si="3"/>
        <v>23.7</v>
      </c>
      <c r="M10" s="71">
        <f t="shared" si="4"/>
        <v>27.35</v>
      </c>
      <c r="O10" s="208" t="s">
        <v>0</v>
      </c>
      <c r="P10" s="209">
        <v>23220.05</v>
      </c>
      <c r="Q10" s="210"/>
      <c r="R10" s="210"/>
      <c r="S10" s="210"/>
    </row>
    <row r="11" spans="1:22" ht="15.75" thickBot="1" x14ac:dyDescent="0.3">
      <c r="A11" s="60" t="s">
        <v>100</v>
      </c>
      <c r="B11" s="213">
        <f t="shared" si="5"/>
        <v>22135.47</v>
      </c>
      <c r="C11" s="214">
        <f t="shared" si="0"/>
        <v>1844.62</v>
      </c>
      <c r="D11" s="214">
        <f t="shared" si="0"/>
        <v>153.72</v>
      </c>
      <c r="E11" s="214">
        <f t="shared" si="6"/>
        <v>153.72</v>
      </c>
      <c r="F11" s="62">
        <f t="shared" si="7"/>
        <v>2152.06</v>
      </c>
      <c r="G11" s="62">
        <f t="shared" si="1"/>
        <v>767.86</v>
      </c>
      <c r="H11" s="63">
        <f t="shared" si="8"/>
        <v>0</v>
      </c>
      <c r="I11" s="64">
        <f t="shared" si="9"/>
        <v>2919.92</v>
      </c>
      <c r="J11" s="65">
        <f t="shared" si="10"/>
        <v>18.72</v>
      </c>
      <c r="K11" s="66">
        <f t="shared" si="2"/>
        <v>19.989999999999998</v>
      </c>
      <c r="L11" s="62">
        <f t="shared" si="3"/>
        <v>22.59</v>
      </c>
      <c r="M11" s="64">
        <f t="shared" si="4"/>
        <v>26.07</v>
      </c>
      <c r="O11" s="208" t="s">
        <v>32</v>
      </c>
      <c r="P11" s="209">
        <v>22135.47</v>
      </c>
      <c r="Q11" s="210"/>
      <c r="R11" s="210"/>
      <c r="S11" s="210"/>
    </row>
    <row r="12" spans="1:22" x14ac:dyDescent="0.25">
      <c r="A12" s="74" t="s">
        <v>101</v>
      </c>
      <c r="B12" s="217">
        <f t="shared" si="5"/>
        <v>22903.200000000001</v>
      </c>
      <c r="C12" s="218">
        <f t="shared" si="0"/>
        <v>1908.6</v>
      </c>
      <c r="D12" s="218">
        <f t="shared" si="0"/>
        <v>159.05000000000001</v>
      </c>
      <c r="E12" s="218">
        <f t="shared" si="6"/>
        <v>159.05000000000001</v>
      </c>
      <c r="F12" s="76">
        <f t="shared" si="7"/>
        <v>2226.6999999999998</v>
      </c>
      <c r="G12" s="76">
        <f t="shared" si="1"/>
        <v>794.49</v>
      </c>
      <c r="H12" s="77">
        <f t="shared" si="8"/>
        <v>0</v>
      </c>
      <c r="I12" s="78">
        <f t="shared" si="9"/>
        <v>3021.1899999999996</v>
      </c>
      <c r="J12" s="79">
        <f t="shared" si="10"/>
        <v>19.37</v>
      </c>
      <c r="K12" s="80">
        <f t="shared" si="2"/>
        <v>20.68</v>
      </c>
      <c r="L12" s="76">
        <f t="shared" si="3"/>
        <v>23.38</v>
      </c>
      <c r="M12" s="78">
        <f t="shared" si="4"/>
        <v>26.97</v>
      </c>
      <c r="O12" s="208" t="s">
        <v>33</v>
      </c>
      <c r="P12" s="209">
        <v>22903.200000000001</v>
      </c>
      <c r="Q12" s="210"/>
      <c r="R12" s="210"/>
      <c r="S12" s="210"/>
    </row>
    <row r="13" spans="1:22" x14ac:dyDescent="0.25">
      <c r="A13" s="219" t="s">
        <v>102</v>
      </c>
      <c r="B13" s="220">
        <f t="shared" si="5"/>
        <v>22086.11</v>
      </c>
      <c r="C13" s="221">
        <f t="shared" si="0"/>
        <v>1840.51</v>
      </c>
      <c r="D13" s="221">
        <f t="shared" si="0"/>
        <v>153.38</v>
      </c>
      <c r="E13" s="221">
        <f t="shared" si="6"/>
        <v>153.38</v>
      </c>
      <c r="F13" s="222">
        <f t="shared" si="7"/>
        <v>2147.27</v>
      </c>
      <c r="G13" s="222">
        <f t="shared" si="1"/>
        <v>766.15</v>
      </c>
      <c r="H13" s="223">
        <f t="shared" si="8"/>
        <v>0</v>
      </c>
      <c r="I13" s="224">
        <f t="shared" si="9"/>
        <v>2913.42</v>
      </c>
      <c r="J13" s="225">
        <f t="shared" si="10"/>
        <v>18.68</v>
      </c>
      <c r="K13" s="226">
        <f t="shared" si="2"/>
        <v>19.940000000000001</v>
      </c>
      <c r="L13" s="222">
        <f t="shared" si="3"/>
        <v>22.54</v>
      </c>
      <c r="M13" s="224">
        <f t="shared" si="4"/>
        <v>26.01</v>
      </c>
      <c r="O13" s="208" t="s">
        <v>34</v>
      </c>
      <c r="P13" s="209">
        <v>22086.11</v>
      </c>
      <c r="Q13" s="210"/>
      <c r="R13" s="210"/>
      <c r="S13" s="210"/>
    </row>
    <row r="14" spans="1:22" x14ac:dyDescent="0.25">
      <c r="A14" s="219" t="s">
        <v>103</v>
      </c>
      <c r="B14" s="220">
        <f t="shared" si="5"/>
        <v>21409.82</v>
      </c>
      <c r="C14" s="221">
        <f t="shared" si="0"/>
        <v>1784.15</v>
      </c>
      <c r="D14" s="221">
        <f t="shared" si="0"/>
        <v>148.68</v>
      </c>
      <c r="E14" s="221">
        <f t="shared" si="6"/>
        <v>148.68</v>
      </c>
      <c r="F14" s="222">
        <f t="shared" si="7"/>
        <v>2081.5100000000002</v>
      </c>
      <c r="G14" s="222">
        <f t="shared" si="1"/>
        <v>742.68</v>
      </c>
      <c r="H14" s="223">
        <f t="shared" si="8"/>
        <v>0</v>
      </c>
      <c r="I14" s="224">
        <f t="shared" si="9"/>
        <v>2824.19</v>
      </c>
      <c r="J14" s="225">
        <f t="shared" si="10"/>
        <v>18.100000000000001</v>
      </c>
      <c r="K14" s="226">
        <f t="shared" si="2"/>
        <v>19.329999999999998</v>
      </c>
      <c r="L14" s="222">
        <f t="shared" si="3"/>
        <v>21.85</v>
      </c>
      <c r="M14" s="224">
        <f t="shared" si="4"/>
        <v>25.22</v>
      </c>
      <c r="O14" s="208" t="s">
        <v>35</v>
      </c>
      <c r="P14" s="209">
        <v>21409.82</v>
      </c>
      <c r="Q14" s="210"/>
      <c r="R14" s="210"/>
      <c r="S14" s="210"/>
    </row>
    <row r="15" spans="1:22" ht="15.75" thickBot="1" x14ac:dyDescent="0.3">
      <c r="A15" s="227" t="s">
        <v>104</v>
      </c>
      <c r="B15" s="228">
        <f t="shared" si="5"/>
        <v>20829.259999999998</v>
      </c>
      <c r="C15" s="229">
        <f t="shared" si="0"/>
        <v>1735.77</v>
      </c>
      <c r="D15" s="229">
        <f t="shared" si="0"/>
        <v>144.65</v>
      </c>
      <c r="E15" s="229">
        <f t="shared" si="6"/>
        <v>144.65</v>
      </c>
      <c r="F15" s="230">
        <f t="shared" si="7"/>
        <v>2025.07</v>
      </c>
      <c r="G15" s="230">
        <f t="shared" si="1"/>
        <v>722.54</v>
      </c>
      <c r="H15" s="231">
        <f t="shared" si="8"/>
        <v>0</v>
      </c>
      <c r="I15" s="232">
        <f t="shared" si="9"/>
        <v>2747.6099999999997</v>
      </c>
      <c r="J15" s="233">
        <f t="shared" si="10"/>
        <v>17.61</v>
      </c>
      <c r="K15" s="234">
        <f t="shared" si="2"/>
        <v>18.809999999999999</v>
      </c>
      <c r="L15" s="230">
        <f t="shared" si="3"/>
        <v>21.26</v>
      </c>
      <c r="M15" s="232">
        <f t="shared" si="4"/>
        <v>24.53</v>
      </c>
      <c r="O15" s="208" t="s">
        <v>1</v>
      </c>
      <c r="P15" s="209">
        <v>20829.259999999998</v>
      </c>
      <c r="Q15" s="210"/>
      <c r="R15" s="210"/>
      <c r="S15" s="210"/>
    </row>
    <row r="16" spans="1:22" ht="15.75" thickBot="1" x14ac:dyDescent="0.3">
      <c r="A16" s="235" t="s">
        <v>105</v>
      </c>
      <c r="B16" s="236">
        <f t="shared" si="5"/>
        <v>20344.07</v>
      </c>
      <c r="C16" s="237">
        <f t="shared" si="0"/>
        <v>1695.34</v>
      </c>
      <c r="D16" s="237">
        <f t="shared" si="0"/>
        <v>141.28</v>
      </c>
      <c r="E16" s="237">
        <f t="shared" si="6"/>
        <v>141.28</v>
      </c>
      <c r="F16" s="238">
        <f t="shared" si="7"/>
        <v>1977.8999999999999</v>
      </c>
      <c r="G16" s="238">
        <f t="shared" si="1"/>
        <v>705.71</v>
      </c>
      <c r="H16" s="239">
        <f t="shared" si="8"/>
        <v>0</v>
      </c>
      <c r="I16" s="240">
        <f t="shared" si="9"/>
        <v>2683.6099999999997</v>
      </c>
      <c r="J16" s="241">
        <f t="shared" si="10"/>
        <v>17.2</v>
      </c>
      <c r="K16" s="242">
        <f t="shared" si="2"/>
        <v>18.37</v>
      </c>
      <c r="L16" s="238">
        <f t="shared" si="3"/>
        <v>20.77</v>
      </c>
      <c r="M16" s="240">
        <f t="shared" si="4"/>
        <v>23.96</v>
      </c>
      <c r="O16" s="208" t="s">
        <v>2</v>
      </c>
      <c r="P16" s="209">
        <v>20344.07</v>
      </c>
      <c r="Q16" s="210"/>
      <c r="R16" s="210"/>
      <c r="S16" s="210"/>
    </row>
    <row r="17" spans="1:20" x14ac:dyDescent="0.25">
      <c r="A17" s="243" t="s">
        <v>106</v>
      </c>
      <c r="B17" s="244">
        <f t="shared" si="5"/>
        <v>20788.240000000002</v>
      </c>
      <c r="C17" s="245">
        <f t="shared" si="0"/>
        <v>1732.35</v>
      </c>
      <c r="D17" s="245">
        <f t="shared" si="0"/>
        <v>144.36000000000001</v>
      </c>
      <c r="E17" s="245">
        <f t="shared" si="6"/>
        <v>144.36000000000001</v>
      </c>
      <c r="F17" s="246">
        <f t="shared" si="7"/>
        <v>2021.07</v>
      </c>
      <c r="G17" s="246">
        <f t="shared" si="1"/>
        <v>721.12</v>
      </c>
      <c r="H17" s="247">
        <f t="shared" si="8"/>
        <v>0</v>
      </c>
      <c r="I17" s="248">
        <f t="shared" si="9"/>
        <v>2742.19</v>
      </c>
      <c r="J17" s="249">
        <f t="shared" si="10"/>
        <v>17.579999999999998</v>
      </c>
      <c r="K17" s="250">
        <f t="shared" si="2"/>
        <v>18.77</v>
      </c>
      <c r="L17" s="246">
        <f t="shared" si="3"/>
        <v>21.22</v>
      </c>
      <c r="M17" s="248">
        <f t="shared" si="4"/>
        <v>24.48</v>
      </c>
      <c r="O17" s="208" t="s">
        <v>36</v>
      </c>
      <c r="P17" s="209">
        <v>20788.240000000002</v>
      </c>
      <c r="Q17" s="210"/>
      <c r="R17" s="210"/>
      <c r="S17" s="210"/>
    </row>
    <row r="18" spans="1:20" x14ac:dyDescent="0.25">
      <c r="A18" s="219" t="s">
        <v>107</v>
      </c>
      <c r="B18" s="220">
        <f t="shared" si="5"/>
        <v>20019.099999999999</v>
      </c>
      <c r="C18" s="221">
        <f t="shared" si="0"/>
        <v>1668.26</v>
      </c>
      <c r="D18" s="221">
        <f t="shared" si="0"/>
        <v>139.02000000000001</v>
      </c>
      <c r="E18" s="221">
        <f t="shared" si="6"/>
        <v>139.02000000000001</v>
      </c>
      <c r="F18" s="222">
        <f t="shared" si="7"/>
        <v>1946.3</v>
      </c>
      <c r="G18" s="222">
        <f t="shared" si="1"/>
        <v>694.44</v>
      </c>
      <c r="H18" s="223">
        <f t="shared" si="8"/>
        <v>0</v>
      </c>
      <c r="I18" s="224">
        <f t="shared" si="9"/>
        <v>2640.74</v>
      </c>
      <c r="J18" s="225">
        <f t="shared" si="10"/>
        <v>16.93</v>
      </c>
      <c r="K18" s="226">
        <f t="shared" si="2"/>
        <v>18.079999999999998</v>
      </c>
      <c r="L18" s="222">
        <f t="shared" si="3"/>
        <v>20.43</v>
      </c>
      <c r="M18" s="224">
        <f t="shared" si="4"/>
        <v>23.58</v>
      </c>
      <c r="O18" s="208" t="s">
        <v>37</v>
      </c>
      <c r="P18" s="209">
        <v>20019.099999999999</v>
      </c>
      <c r="Q18" s="210"/>
      <c r="R18" s="210"/>
      <c r="S18" s="210"/>
    </row>
    <row r="19" spans="1:20" x14ac:dyDescent="0.25">
      <c r="A19" s="219" t="s">
        <v>108</v>
      </c>
      <c r="B19" s="220">
        <f t="shared" si="5"/>
        <v>19669.91</v>
      </c>
      <c r="C19" s="221">
        <f t="shared" si="0"/>
        <v>1639.16</v>
      </c>
      <c r="D19" s="221">
        <f t="shared" si="0"/>
        <v>136.6</v>
      </c>
      <c r="E19" s="221">
        <f t="shared" si="6"/>
        <v>136.6</v>
      </c>
      <c r="F19" s="222">
        <f t="shared" si="7"/>
        <v>1912.3600000000001</v>
      </c>
      <c r="G19" s="222">
        <f t="shared" si="1"/>
        <v>682.33</v>
      </c>
      <c r="H19" s="223">
        <f t="shared" si="8"/>
        <v>0</v>
      </c>
      <c r="I19" s="224">
        <f t="shared" si="9"/>
        <v>2594.69</v>
      </c>
      <c r="J19" s="225">
        <f t="shared" si="10"/>
        <v>16.63</v>
      </c>
      <c r="K19" s="226">
        <f t="shared" si="2"/>
        <v>17.760000000000002</v>
      </c>
      <c r="L19" s="222">
        <f t="shared" si="3"/>
        <v>20.079999999999998</v>
      </c>
      <c r="M19" s="224">
        <f t="shared" si="4"/>
        <v>23.17</v>
      </c>
      <c r="O19" s="208" t="s">
        <v>38</v>
      </c>
      <c r="P19" s="209">
        <v>19669.91</v>
      </c>
      <c r="Q19" s="210"/>
      <c r="R19" s="210"/>
      <c r="S19" s="210"/>
    </row>
    <row r="20" spans="1:20" ht="15.75" thickBot="1" x14ac:dyDescent="0.3">
      <c r="A20" s="219" t="s">
        <v>109</v>
      </c>
      <c r="B20" s="220">
        <f t="shared" si="5"/>
        <v>19343.330000000002</v>
      </c>
      <c r="C20" s="221">
        <f t="shared" si="0"/>
        <v>1611.94</v>
      </c>
      <c r="D20" s="221">
        <f t="shared" si="0"/>
        <v>134.33000000000001</v>
      </c>
      <c r="E20" s="221">
        <f t="shared" si="6"/>
        <v>134.33000000000001</v>
      </c>
      <c r="F20" s="222">
        <f t="shared" si="7"/>
        <v>1880.6000000000001</v>
      </c>
      <c r="G20" s="222">
        <f t="shared" si="1"/>
        <v>671</v>
      </c>
      <c r="H20" s="223">
        <f t="shared" si="8"/>
        <v>0</v>
      </c>
      <c r="I20" s="224">
        <f t="shared" si="9"/>
        <v>2551.6000000000004</v>
      </c>
      <c r="J20" s="225">
        <f t="shared" si="10"/>
        <v>16.36</v>
      </c>
      <c r="K20" s="226">
        <f t="shared" si="2"/>
        <v>17.47</v>
      </c>
      <c r="L20" s="222">
        <f t="shared" si="3"/>
        <v>19.739999999999998</v>
      </c>
      <c r="M20" s="224">
        <f t="shared" si="4"/>
        <v>22.78</v>
      </c>
      <c r="O20" s="208" t="s">
        <v>39</v>
      </c>
      <c r="P20" s="209">
        <v>19343.330000000002</v>
      </c>
      <c r="Q20" s="210"/>
      <c r="R20" s="210"/>
      <c r="S20" s="210"/>
    </row>
    <row r="21" spans="1:20" s="35" customFormat="1" ht="15.75" thickBot="1" x14ac:dyDescent="0.3">
      <c r="A21" s="235" t="s">
        <v>110</v>
      </c>
      <c r="B21" s="236">
        <f t="shared" si="5"/>
        <v>19063.8</v>
      </c>
      <c r="C21" s="237">
        <f t="shared" si="0"/>
        <v>1588.65</v>
      </c>
      <c r="D21" s="237">
        <f t="shared" si="0"/>
        <v>132.38999999999999</v>
      </c>
      <c r="E21" s="237">
        <f t="shared" si="6"/>
        <v>132.38999999999999</v>
      </c>
      <c r="F21" s="238">
        <f t="shared" si="7"/>
        <v>1853.43</v>
      </c>
      <c r="G21" s="238">
        <f t="shared" si="1"/>
        <v>661.3</v>
      </c>
      <c r="H21" s="239">
        <f t="shared" si="8"/>
        <v>0</v>
      </c>
      <c r="I21" s="240">
        <f t="shared" si="9"/>
        <v>2514.73</v>
      </c>
      <c r="J21" s="241">
        <f t="shared" si="10"/>
        <v>16.12</v>
      </c>
      <c r="K21" s="242">
        <f t="shared" si="2"/>
        <v>17.21</v>
      </c>
      <c r="L21" s="238">
        <f t="shared" si="3"/>
        <v>19.46</v>
      </c>
      <c r="M21" s="240">
        <f t="shared" si="4"/>
        <v>22.45</v>
      </c>
      <c r="O21" s="208" t="s">
        <v>40</v>
      </c>
      <c r="P21" s="209">
        <v>19063.8</v>
      </c>
      <c r="Q21" s="251"/>
      <c r="R21" s="251"/>
      <c r="S21" s="251"/>
    </row>
    <row r="22" spans="1:20" ht="15.75" thickBot="1" x14ac:dyDescent="0.3">
      <c r="A22" s="227" t="s">
        <v>111</v>
      </c>
      <c r="B22" s="228">
        <f t="shared" si="5"/>
        <v>18333.93</v>
      </c>
      <c r="C22" s="229">
        <f t="shared" si="0"/>
        <v>1527.83</v>
      </c>
      <c r="D22" s="229">
        <f t="shared" si="0"/>
        <v>127.32</v>
      </c>
      <c r="E22" s="229">
        <f t="shared" si="6"/>
        <v>127.32</v>
      </c>
      <c r="F22" s="230">
        <f t="shared" si="7"/>
        <v>1782.4699999999998</v>
      </c>
      <c r="G22" s="230">
        <f t="shared" si="1"/>
        <v>635.99</v>
      </c>
      <c r="H22" s="231">
        <f t="shared" si="8"/>
        <v>0</v>
      </c>
      <c r="I22" s="232">
        <f t="shared" si="9"/>
        <v>2418.46</v>
      </c>
      <c r="J22" s="233">
        <f t="shared" si="10"/>
        <v>15.5</v>
      </c>
      <c r="K22" s="234">
        <f t="shared" si="2"/>
        <v>16.55</v>
      </c>
      <c r="L22" s="230">
        <f t="shared" si="3"/>
        <v>18.71</v>
      </c>
      <c r="M22" s="232">
        <f t="shared" si="4"/>
        <v>21.59</v>
      </c>
      <c r="O22" s="208" t="s">
        <v>41</v>
      </c>
      <c r="P22" s="209">
        <v>18333.93</v>
      </c>
      <c r="Q22" s="210"/>
      <c r="R22" s="251"/>
      <c r="S22" s="251"/>
      <c r="T22" s="3"/>
    </row>
    <row r="23" spans="1:20" ht="15.75" thickBot="1" x14ac:dyDescent="0.3">
      <c r="A23" s="235" t="s">
        <v>112</v>
      </c>
      <c r="B23" s="236">
        <f t="shared" si="5"/>
        <v>18034.07</v>
      </c>
      <c r="C23" s="237">
        <f t="shared" si="0"/>
        <v>1502.84</v>
      </c>
      <c r="D23" s="237">
        <f t="shared" si="0"/>
        <v>125.24</v>
      </c>
      <c r="E23" s="237">
        <f t="shared" si="6"/>
        <v>125.24</v>
      </c>
      <c r="F23" s="238">
        <f t="shared" si="7"/>
        <v>1753.32</v>
      </c>
      <c r="G23" s="238">
        <f t="shared" si="1"/>
        <v>625.58000000000004</v>
      </c>
      <c r="H23" s="239">
        <f t="shared" si="8"/>
        <v>0</v>
      </c>
      <c r="I23" s="240">
        <f t="shared" si="9"/>
        <v>2378.9</v>
      </c>
      <c r="J23" s="241">
        <f t="shared" si="10"/>
        <v>15.25</v>
      </c>
      <c r="K23" s="242">
        <f t="shared" si="2"/>
        <v>16.28</v>
      </c>
      <c r="L23" s="238">
        <f t="shared" si="3"/>
        <v>18.41</v>
      </c>
      <c r="M23" s="240">
        <f t="shared" si="4"/>
        <v>21.24</v>
      </c>
      <c r="O23" s="208" t="s">
        <v>3</v>
      </c>
      <c r="P23" s="209">
        <v>18034.07</v>
      </c>
      <c r="Q23" s="210"/>
      <c r="R23" s="210"/>
      <c r="S23" s="252"/>
      <c r="T23" s="3"/>
    </row>
    <row r="24" spans="1:20" x14ac:dyDescent="0.25">
      <c r="A24" s="243" t="s">
        <v>113</v>
      </c>
      <c r="B24" s="244">
        <f t="shared" si="5"/>
        <v>18341.97</v>
      </c>
      <c r="C24" s="245">
        <f t="shared" si="0"/>
        <v>1528.5</v>
      </c>
      <c r="D24" s="245">
        <f t="shared" si="0"/>
        <v>127.38</v>
      </c>
      <c r="E24" s="245">
        <f t="shared" si="6"/>
        <v>127.38</v>
      </c>
      <c r="F24" s="246">
        <f t="shared" si="7"/>
        <v>1783.26</v>
      </c>
      <c r="G24" s="246">
        <f t="shared" si="1"/>
        <v>636.27</v>
      </c>
      <c r="H24" s="247">
        <f t="shared" si="8"/>
        <v>0</v>
      </c>
      <c r="I24" s="248">
        <f t="shared" si="9"/>
        <v>2419.5299999999997</v>
      </c>
      <c r="J24" s="249">
        <f t="shared" si="10"/>
        <v>15.51</v>
      </c>
      <c r="K24" s="250">
        <f t="shared" si="2"/>
        <v>16.559999999999999</v>
      </c>
      <c r="L24" s="246">
        <f t="shared" si="3"/>
        <v>18.72</v>
      </c>
      <c r="M24" s="248">
        <f t="shared" si="4"/>
        <v>21.6</v>
      </c>
      <c r="O24" s="208" t="s">
        <v>42</v>
      </c>
      <c r="P24" s="209">
        <v>18341.97</v>
      </c>
      <c r="Q24" s="210"/>
      <c r="R24" s="210"/>
      <c r="S24" s="210"/>
    </row>
    <row r="25" spans="1:20" x14ac:dyDescent="0.25">
      <c r="A25" s="219" t="s">
        <v>114</v>
      </c>
      <c r="B25" s="220">
        <f t="shared" si="5"/>
        <v>17970.54</v>
      </c>
      <c r="C25" s="221">
        <f t="shared" si="0"/>
        <v>1497.55</v>
      </c>
      <c r="D25" s="221">
        <f t="shared" si="0"/>
        <v>124.8</v>
      </c>
      <c r="E25" s="221">
        <f t="shared" si="6"/>
        <v>124.8</v>
      </c>
      <c r="F25" s="222">
        <f t="shared" si="7"/>
        <v>1747.1499999999999</v>
      </c>
      <c r="G25" s="222">
        <f t="shared" si="1"/>
        <v>623.38</v>
      </c>
      <c r="H25" s="223">
        <f t="shared" si="8"/>
        <v>0</v>
      </c>
      <c r="I25" s="224">
        <f t="shared" si="9"/>
        <v>2370.5299999999997</v>
      </c>
      <c r="J25" s="225">
        <f t="shared" si="10"/>
        <v>15.2</v>
      </c>
      <c r="K25" s="226">
        <f t="shared" si="2"/>
        <v>16.23</v>
      </c>
      <c r="L25" s="222">
        <f t="shared" si="3"/>
        <v>18.34</v>
      </c>
      <c r="M25" s="224">
        <f t="shared" si="4"/>
        <v>21.17</v>
      </c>
      <c r="O25" s="208" t="s">
        <v>43</v>
      </c>
      <c r="P25" s="209">
        <v>17970.54</v>
      </c>
      <c r="Q25" s="210"/>
      <c r="R25" s="210"/>
      <c r="S25" s="210"/>
    </row>
    <row r="26" spans="1:20" x14ac:dyDescent="0.25">
      <c r="A26" s="219" t="s">
        <v>115</v>
      </c>
      <c r="B26" s="220">
        <f t="shared" si="5"/>
        <v>17656.560000000001</v>
      </c>
      <c r="C26" s="221">
        <f t="shared" si="0"/>
        <v>1471.38</v>
      </c>
      <c r="D26" s="221">
        <f t="shared" si="0"/>
        <v>122.62</v>
      </c>
      <c r="E26" s="221">
        <f t="shared" si="6"/>
        <v>122.62</v>
      </c>
      <c r="F26" s="222">
        <f t="shared" si="7"/>
        <v>1716.6200000000001</v>
      </c>
      <c r="G26" s="222">
        <f t="shared" si="1"/>
        <v>612.49</v>
      </c>
      <c r="H26" s="223">
        <f t="shared" si="8"/>
        <v>0</v>
      </c>
      <c r="I26" s="224">
        <f t="shared" si="9"/>
        <v>2329.11</v>
      </c>
      <c r="J26" s="225">
        <f t="shared" si="10"/>
        <v>14.93</v>
      </c>
      <c r="K26" s="226">
        <f t="shared" si="2"/>
        <v>15.94</v>
      </c>
      <c r="L26" s="222">
        <f t="shared" si="3"/>
        <v>18.02</v>
      </c>
      <c r="M26" s="224">
        <f t="shared" si="4"/>
        <v>20.8</v>
      </c>
      <c r="O26" s="208" t="s">
        <v>44</v>
      </c>
      <c r="P26" s="209">
        <v>17656.560000000001</v>
      </c>
      <c r="Q26" s="210"/>
      <c r="R26" s="210"/>
      <c r="S26" s="210"/>
    </row>
    <row r="27" spans="1:20" ht="15.75" thickBot="1" x14ac:dyDescent="0.3">
      <c r="A27" s="53" t="s">
        <v>116</v>
      </c>
      <c r="B27" s="211">
        <f t="shared" si="5"/>
        <v>17290.310000000001</v>
      </c>
      <c r="C27" s="212">
        <f t="shared" si="0"/>
        <v>1440.86</v>
      </c>
      <c r="D27" s="212">
        <f t="shared" si="0"/>
        <v>120.07</v>
      </c>
      <c r="E27" s="212">
        <f t="shared" si="6"/>
        <v>120.07</v>
      </c>
      <c r="F27" s="55">
        <f t="shared" si="7"/>
        <v>1681</v>
      </c>
      <c r="G27" s="55">
        <f t="shared" si="1"/>
        <v>599.78</v>
      </c>
      <c r="H27" s="56">
        <f t="shared" si="8"/>
        <v>0</v>
      </c>
      <c r="I27" s="57">
        <f t="shared" si="9"/>
        <v>2280.7799999999997</v>
      </c>
      <c r="J27" s="58">
        <f t="shared" si="10"/>
        <v>14.62</v>
      </c>
      <c r="K27" s="59">
        <f t="shared" si="2"/>
        <v>15.61</v>
      </c>
      <c r="L27" s="55">
        <f t="shared" si="3"/>
        <v>17.649999999999999</v>
      </c>
      <c r="M27" s="57">
        <f t="shared" si="4"/>
        <v>20.36</v>
      </c>
      <c r="O27" s="208" t="s">
        <v>5</v>
      </c>
      <c r="P27" s="209">
        <v>17290.310000000001</v>
      </c>
      <c r="Q27" s="210"/>
      <c r="R27" s="210"/>
      <c r="S27" s="210"/>
    </row>
    <row r="28" spans="1:20" ht="15.75" thickBot="1" x14ac:dyDescent="0.3">
      <c r="A28" s="60" t="s">
        <v>117</v>
      </c>
      <c r="B28" s="213">
        <f t="shared" si="5"/>
        <v>17060.97</v>
      </c>
      <c r="C28" s="214">
        <f t="shared" si="0"/>
        <v>1421.75</v>
      </c>
      <c r="D28" s="214">
        <f t="shared" si="0"/>
        <v>118.48</v>
      </c>
      <c r="E28" s="214">
        <f t="shared" si="6"/>
        <v>118.48</v>
      </c>
      <c r="F28" s="62">
        <f t="shared" si="7"/>
        <v>1658.71</v>
      </c>
      <c r="G28" s="62">
        <f t="shared" si="1"/>
        <v>591.83000000000004</v>
      </c>
      <c r="H28" s="63">
        <f t="shared" si="8"/>
        <v>0</v>
      </c>
      <c r="I28" s="64">
        <f t="shared" si="9"/>
        <v>2250.54</v>
      </c>
      <c r="J28" s="65">
        <f t="shared" si="10"/>
        <v>14.43</v>
      </c>
      <c r="K28" s="66">
        <f t="shared" si="2"/>
        <v>15.41</v>
      </c>
      <c r="L28" s="62">
        <f t="shared" si="3"/>
        <v>17.41</v>
      </c>
      <c r="M28" s="64">
        <f t="shared" si="4"/>
        <v>20.09</v>
      </c>
      <c r="O28" s="208" t="s">
        <v>4</v>
      </c>
      <c r="P28" s="209">
        <v>17060.97</v>
      </c>
      <c r="Q28" s="210"/>
      <c r="R28" s="210"/>
      <c r="S28" s="210"/>
    </row>
    <row r="29" spans="1:20" ht="15.75" thickBot="1" x14ac:dyDescent="0.3">
      <c r="A29" s="81"/>
    </row>
    <row r="30" spans="1:20" x14ac:dyDescent="0.25">
      <c r="J30" s="253"/>
    </row>
    <row r="31" spans="1:20" x14ac:dyDescent="0.25">
      <c r="A31" t="s">
        <v>320</v>
      </c>
      <c r="J31" s="253"/>
    </row>
    <row r="33" spans="1:3" x14ac:dyDescent="0.25">
      <c r="A33" t="s">
        <v>321</v>
      </c>
    </row>
    <row r="34" spans="1:3" x14ac:dyDescent="0.25">
      <c r="A34" s="181" t="s">
        <v>322</v>
      </c>
      <c r="B34" s="254">
        <v>0.23799999999999999</v>
      </c>
    </row>
    <row r="35" spans="1:3" x14ac:dyDescent="0.25">
      <c r="A35" s="181" t="s">
        <v>72</v>
      </c>
      <c r="B35" s="254">
        <v>8.5000000000000006E-2</v>
      </c>
    </row>
    <row r="36" spans="1:3" x14ac:dyDescent="0.25">
      <c r="A36" s="181" t="s">
        <v>323</v>
      </c>
      <c r="B36" s="254">
        <v>5.0000000000000001E-3</v>
      </c>
    </row>
    <row r="37" spans="1:3" x14ac:dyDescent="0.25">
      <c r="A37" s="181" t="s">
        <v>324</v>
      </c>
      <c r="B37" s="255">
        <f>3.6%*0.8</f>
        <v>2.8800000000000006E-2</v>
      </c>
    </row>
    <row r="38" spans="1:3" x14ac:dyDescent="0.25">
      <c r="B38" s="254">
        <f>+SUM(B34:B37)</f>
        <v>0.35680000000000001</v>
      </c>
      <c r="C38" s="254">
        <f>+B38+1</f>
        <v>1.3568</v>
      </c>
    </row>
    <row r="39" spans="1:3" x14ac:dyDescent="0.25">
      <c r="B39" s="3"/>
    </row>
    <row r="40" spans="1:3" x14ac:dyDescent="0.25">
      <c r="B40" s="3"/>
    </row>
  </sheetData>
  <mergeCells count="3">
    <mergeCell ref="E1:G1"/>
    <mergeCell ref="E2:G2"/>
    <mergeCell ref="J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8</vt:i4>
      </vt:variant>
    </vt:vector>
  </HeadingPairs>
  <TitlesOfParts>
    <vt:vector size="18" baseType="lpstr">
      <vt:lpstr>INPUT</vt:lpstr>
      <vt:lpstr>SCHEDA DI INTERVENTO</vt:lpstr>
      <vt:lpstr>esprortazione</vt:lpstr>
      <vt:lpstr>CCNL-appoggio</vt:lpstr>
      <vt:lpstr>CCNL cooperative</vt:lpstr>
      <vt:lpstr>CCNL cooperative (11-19)</vt:lpstr>
      <vt:lpstr>CCNL cooperative (4-20)</vt:lpstr>
      <vt:lpstr>CCNL cooperative (9-20)</vt:lpstr>
      <vt:lpstr>CCNL EELL</vt:lpstr>
      <vt:lpstr>CCNL EELL 2018</vt:lpstr>
      <vt:lpstr>esprortazione!Area_stampa</vt:lpstr>
      <vt:lpstr>INPUT!Area_stampa</vt:lpstr>
      <vt:lpstr>'SCHEDA DI INTERVENTO'!Area_stampa</vt:lpstr>
      <vt:lpstr>CCNLCoopCost</vt:lpstr>
      <vt:lpstr>CCNLCoopDes</vt:lpstr>
      <vt:lpstr>CCNLEELLCostOrd</vt:lpstr>
      <vt:lpstr>CCNLEELLCostStraord</vt:lpstr>
      <vt:lpstr>CCNLEELLDes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2022-03-21T14:12:18Z</dcterms:modified>
</cp:coreProperties>
</file>